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7bf7b6f110c183d/Documents/FPLeague College 2026/"/>
    </mc:Choice>
  </mc:AlternateContent>
  <xr:revisionPtr revIDLastSave="1849" documentId="13_ncr:1_{BB870E4E-355B-47F6-8291-0337AFB75D97}" xr6:coauthVersionLast="47" xr6:coauthVersionMax="47" xr10:uidLastSave="{849AE7D6-CBDB-41EB-822B-5200A831F4E8}"/>
  <bookViews>
    <workbookView xWindow="11205" yWindow="1920" windowWidth="25410" windowHeight="18795" xr2:uid="{00000000-000D-0000-FFFF-FFFF00000000}"/>
  </bookViews>
  <sheets>
    <sheet name="College" sheetId="1" r:id="rId1"/>
    <sheet name="Records" sheetId="12" r:id="rId2"/>
    <sheet name="Weekly Wins" sheetId="16" r:id="rId3"/>
    <sheet name="Streaks" sheetId="13" r:id="rId4"/>
    <sheet name="Cards" sheetId="22" r:id="rId5"/>
    <sheet name="2026" sheetId="21" r:id="rId6"/>
    <sheet name="2025" sheetId="20" r:id="rId7"/>
    <sheet name="2024" sheetId="19" r:id="rId8"/>
    <sheet name="2023" sheetId="18" r:id="rId9"/>
    <sheet name="2022" sheetId="17" r:id="rId10"/>
    <sheet name="2021" sheetId="2" r:id="rId11"/>
    <sheet name="2020" sheetId="3" r:id="rId12"/>
    <sheet name="2019" sheetId="4" r:id="rId13"/>
    <sheet name="2018" sheetId="5" r:id="rId14"/>
    <sheet name="2017" sheetId="6" r:id="rId15"/>
    <sheet name="2016" sheetId="7" r:id="rId16"/>
    <sheet name="2015" sheetId="8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6" l="1"/>
  <c r="T17" i="16"/>
  <c r="BH6" i="22"/>
  <c r="BZ6" i="22"/>
  <c r="H6" i="22"/>
  <c r="BQ6" i="22"/>
  <c r="AY6" i="22"/>
  <c r="AY16" i="22" s="1"/>
  <c r="AP6" i="22"/>
  <c r="AP16" i="22" s="1"/>
  <c r="AG6" i="22"/>
  <c r="AG8" i="22" s="1"/>
  <c r="Y6" i="22"/>
  <c r="Y8" i="22" s="1"/>
  <c r="R8" i="22"/>
  <c r="Y7" i="22"/>
  <c r="X7" i="22"/>
  <c r="W7" i="22"/>
  <c r="U7" i="22"/>
  <c r="T7" i="22"/>
  <c r="S7" i="22"/>
  <c r="W6" i="22"/>
  <c r="W8" i="22" s="1"/>
  <c r="S6" i="22"/>
  <c r="AA8" i="22"/>
  <c r="AH7" i="22"/>
  <c r="AG7" i="22"/>
  <c r="AF7" i="22"/>
  <c r="AD7" i="22"/>
  <c r="AC7" i="22" s="1"/>
  <c r="AB7" i="22"/>
  <c r="AH6" i="22"/>
  <c r="AH8" i="22" s="1"/>
  <c r="AF6" i="22"/>
  <c r="AF8" i="22" s="1"/>
  <c r="AB6" i="22"/>
  <c r="EC27" i="22"/>
  <c r="DT27" i="22"/>
  <c r="DK37" i="22"/>
  <c r="AS16" i="22"/>
  <c r="AJ16" i="22"/>
  <c r="AQ15" i="22"/>
  <c r="AP15" i="22"/>
  <c r="AO15" i="22"/>
  <c r="AM15" i="22"/>
  <c r="AL15" i="22" s="1"/>
  <c r="AK15" i="22"/>
  <c r="AQ14" i="22"/>
  <c r="AP14" i="22"/>
  <c r="AO14" i="22"/>
  <c r="AM14" i="22"/>
  <c r="AL14" i="22" s="1"/>
  <c r="AK14" i="22"/>
  <c r="AQ13" i="22"/>
  <c r="AP13" i="22"/>
  <c r="AO13" i="22"/>
  <c r="AM13" i="22"/>
  <c r="AL13" i="22"/>
  <c r="AK13" i="22"/>
  <c r="AQ12" i="22"/>
  <c r="AP12" i="22"/>
  <c r="AO12" i="22"/>
  <c r="AM12" i="22"/>
  <c r="AL12" i="22" s="1"/>
  <c r="AK12" i="22"/>
  <c r="AQ11" i="22"/>
  <c r="AP11" i="22"/>
  <c r="AO11" i="22"/>
  <c r="AM11" i="22"/>
  <c r="AK11" i="22"/>
  <c r="AQ10" i="22"/>
  <c r="AP10" i="22"/>
  <c r="AO10" i="22"/>
  <c r="AM10" i="22"/>
  <c r="AL10" i="22" s="1"/>
  <c r="AK10" i="22"/>
  <c r="AQ9" i="22"/>
  <c r="AP9" i="22"/>
  <c r="AO9" i="22"/>
  <c r="AM9" i="22"/>
  <c r="AL9" i="22" s="1"/>
  <c r="AK9" i="22"/>
  <c r="AQ8" i="22"/>
  <c r="AP8" i="22"/>
  <c r="AO8" i="22"/>
  <c r="AM8" i="22"/>
  <c r="AL8" i="22" s="1"/>
  <c r="AK8" i="22"/>
  <c r="AQ7" i="22"/>
  <c r="AP7" i="22"/>
  <c r="AO7" i="22"/>
  <c r="AM7" i="22"/>
  <c r="AL7" i="22" s="1"/>
  <c r="AK7" i="22"/>
  <c r="AQ6" i="22"/>
  <c r="AQ16" i="22" s="1"/>
  <c r="AO6" i="22"/>
  <c r="AO16" i="22" s="1"/>
  <c r="AK6" i="22"/>
  <c r="AZ15" i="22"/>
  <c r="AY15" i="22"/>
  <c r="AX15" i="22"/>
  <c r="AV15" i="22"/>
  <c r="AT15" i="22"/>
  <c r="AZ14" i="22"/>
  <c r="AY14" i="22"/>
  <c r="AX14" i="22"/>
  <c r="AV14" i="22"/>
  <c r="AT14" i="22"/>
  <c r="AZ13" i="22"/>
  <c r="AY13" i="22"/>
  <c r="AX13" i="22"/>
  <c r="AV13" i="22"/>
  <c r="AT13" i="22"/>
  <c r="AZ12" i="22"/>
  <c r="AY12" i="22"/>
  <c r="AX12" i="22"/>
  <c r="AV12" i="22"/>
  <c r="AT12" i="22"/>
  <c r="AZ11" i="22"/>
  <c r="AY11" i="22"/>
  <c r="AX11" i="22"/>
  <c r="AV11" i="22"/>
  <c r="AT11" i="22"/>
  <c r="AZ10" i="22"/>
  <c r="AY10" i="22"/>
  <c r="AX10" i="22"/>
  <c r="AV10" i="22"/>
  <c r="AT10" i="22"/>
  <c r="AZ9" i="22"/>
  <c r="AY9" i="22"/>
  <c r="AX9" i="22"/>
  <c r="AV9" i="22"/>
  <c r="AT9" i="22"/>
  <c r="AZ8" i="22"/>
  <c r="AX8" i="22"/>
  <c r="AV8" i="22"/>
  <c r="AT8" i="22"/>
  <c r="AZ7" i="22"/>
  <c r="AY7" i="22"/>
  <c r="AX7" i="22"/>
  <c r="AV7" i="22"/>
  <c r="AT7" i="22"/>
  <c r="AZ6" i="22"/>
  <c r="AZ16" i="22" s="1"/>
  <c r="AX6" i="22"/>
  <c r="AX16" i="22" s="1"/>
  <c r="AT6" i="22"/>
  <c r="BB18" i="22"/>
  <c r="BI17" i="22"/>
  <c r="BH17" i="22"/>
  <c r="BG17" i="22"/>
  <c r="BE17" i="22"/>
  <c r="BC17" i="22"/>
  <c r="BI16" i="22"/>
  <c r="BH16" i="22"/>
  <c r="BG16" i="22"/>
  <c r="BE16" i="22"/>
  <c r="BC16" i="22"/>
  <c r="BI15" i="22"/>
  <c r="BH15" i="22"/>
  <c r="BG15" i="22"/>
  <c r="BE15" i="22"/>
  <c r="BC15" i="22"/>
  <c r="BI14" i="22"/>
  <c r="BH14" i="22"/>
  <c r="BG14" i="22"/>
  <c r="BE14" i="22"/>
  <c r="BC14" i="22"/>
  <c r="BI13" i="22"/>
  <c r="BH13" i="22"/>
  <c r="BG13" i="22"/>
  <c r="BE13" i="22"/>
  <c r="BC13" i="22"/>
  <c r="BI12" i="22"/>
  <c r="BH12" i="22"/>
  <c r="BG12" i="22"/>
  <c r="BE12" i="22"/>
  <c r="BC12" i="22"/>
  <c r="BI11" i="22"/>
  <c r="BH11" i="22"/>
  <c r="BG11" i="22"/>
  <c r="BE11" i="22"/>
  <c r="BC11" i="22"/>
  <c r="BI10" i="22"/>
  <c r="BH10" i="22"/>
  <c r="BG10" i="22"/>
  <c r="BE10" i="22"/>
  <c r="BC10" i="22"/>
  <c r="BI9" i="22"/>
  <c r="BH9" i="22"/>
  <c r="BG9" i="22"/>
  <c r="BE9" i="22"/>
  <c r="BC9" i="22"/>
  <c r="BI8" i="22"/>
  <c r="BH8" i="22"/>
  <c r="BG8" i="22"/>
  <c r="BE8" i="22"/>
  <c r="BC8" i="22"/>
  <c r="BI7" i="22"/>
  <c r="BH7" i="22"/>
  <c r="BG7" i="22"/>
  <c r="BE7" i="22"/>
  <c r="BC7" i="22"/>
  <c r="BI6" i="22"/>
  <c r="BI18" i="22" s="1"/>
  <c r="BG6" i="22"/>
  <c r="BC6" i="22"/>
  <c r="BK18" i="22"/>
  <c r="BR17" i="22"/>
  <c r="BQ17" i="22"/>
  <c r="BP17" i="22"/>
  <c r="BN17" i="22"/>
  <c r="BL17" i="22"/>
  <c r="BR16" i="22"/>
  <c r="BQ16" i="22"/>
  <c r="BP16" i="22"/>
  <c r="BN16" i="22"/>
  <c r="BL16" i="22"/>
  <c r="BR15" i="22"/>
  <c r="BQ15" i="22"/>
  <c r="BP15" i="22"/>
  <c r="BN15" i="22"/>
  <c r="BL15" i="22"/>
  <c r="BR14" i="22"/>
  <c r="BQ14" i="22"/>
  <c r="BP14" i="22"/>
  <c r="BN14" i="22"/>
  <c r="BL14" i="22"/>
  <c r="BR13" i="22"/>
  <c r="BQ13" i="22"/>
  <c r="BP13" i="22"/>
  <c r="BN13" i="22"/>
  <c r="BL13" i="22"/>
  <c r="BR12" i="22"/>
  <c r="BP12" i="22"/>
  <c r="BN12" i="22"/>
  <c r="BL12" i="22"/>
  <c r="BR11" i="22"/>
  <c r="BQ11" i="22"/>
  <c r="BP11" i="22"/>
  <c r="BN11" i="22"/>
  <c r="BL11" i="22"/>
  <c r="BR10" i="22"/>
  <c r="BQ10" i="22"/>
  <c r="BP10" i="22"/>
  <c r="BN10" i="22"/>
  <c r="BL10" i="22"/>
  <c r="BR9" i="22"/>
  <c r="BQ9" i="22"/>
  <c r="BP9" i="22"/>
  <c r="BN9" i="22"/>
  <c r="BL9" i="22"/>
  <c r="BR8" i="22"/>
  <c r="BQ8" i="22"/>
  <c r="BP8" i="22"/>
  <c r="BN8" i="22"/>
  <c r="BL8" i="22"/>
  <c r="BR7" i="22"/>
  <c r="BQ7" i="22"/>
  <c r="BP7" i="22"/>
  <c r="BN7" i="22"/>
  <c r="BL7" i="22"/>
  <c r="BR6" i="22"/>
  <c r="BR18" i="22" s="1"/>
  <c r="BP6" i="22"/>
  <c r="BL6" i="22"/>
  <c r="BT9" i="22"/>
  <c r="CA8" i="22"/>
  <c r="BZ8" i="22"/>
  <c r="BY8" i="22"/>
  <c r="BW8" i="22"/>
  <c r="BU8" i="22"/>
  <c r="CA7" i="22"/>
  <c r="BZ7" i="22"/>
  <c r="BY7" i="22"/>
  <c r="BW7" i="22"/>
  <c r="BU7" i="22"/>
  <c r="CA6" i="22"/>
  <c r="CA9" i="22" s="1"/>
  <c r="BY6" i="22"/>
  <c r="BU6" i="22"/>
  <c r="B18" i="22"/>
  <c r="I17" i="22"/>
  <c r="H17" i="22"/>
  <c r="G17" i="22"/>
  <c r="E17" i="22"/>
  <c r="C17" i="22"/>
  <c r="I16" i="22"/>
  <c r="H16" i="22"/>
  <c r="G16" i="22"/>
  <c r="E16" i="22"/>
  <c r="C16" i="22"/>
  <c r="I15" i="22"/>
  <c r="H15" i="22"/>
  <c r="G15" i="22"/>
  <c r="E15" i="22"/>
  <c r="C15" i="22"/>
  <c r="I14" i="22"/>
  <c r="H14" i="22"/>
  <c r="G14" i="22"/>
  <c r="E14" i="22"/>
  <c r="C14" i="22"/>
  <c r="I13" i="22"/>
  <c r="H13" i="22"/>
  <c r="G13" i="22"/>
  <c r="E13" i="22"/>
  <c r="C13" i="22"/>
  <c r="I12" i="22"/>
  <c r="H12" i="22"/>
  <c r="G12" i="22"/>
  <c r="E12" i="22"/>
  <c r="C12" i="22"/>
  <c r="I11" i="22"/>
  <c r="H11" i="22"/>
  <c r="G11" i="22"/>
  <c r="E11" i="22"/>
  <c r="C11" i="22"/>
  <c r="I10" i="22"/>
  <c r="H10" i="22"/>
  <c r="G10" i="22"/>
  <c r="E10" i="22"/>
  <c r="C10" i="22"/>
  <c r="I9" i="22"/>
  <c r="H9" i="22"/>
  <c r="G9" i="22"/>
  <c r="E9" i="22"/>
  <c r="C9" i="22"/>
  <c r="I8" i="22"/>
  <c r="H8" i="22"/>
  <c r="G8" i="22"/>
  <c r="E8" i="22"/>
  <c r="C8" i="22"/>
  <c r="I7" i="22"/>
  <c r="H7" i="22"/>
  <c r="G7" i="22"/>
  <c r="E7" i="22"/>
  <c r="C7" i="22"/>
  <c r="I6" i="22"/>
  <c r="I18" i="22" s="1"/>
  <c r="G6" i="22"/>
  <c r="C6" i="22"/>
  <c r="T7" i="16"/>
  <c r="F14" i="16"/>
  <c r="BE6" i="22" l="1"/>
  <c r="BE18" i="22" s="1"/>
  <c r="AM6" i="22"/>
  <c r="AM16" i="22" s="1"/>
  <c r="AD6" i="22"/>
  <c r="AD8" i="22" s="1"/>
  <c r="BN6" i="22"/>
  <c r="BN18" i="22" s="1"/>
  <c r="E6" i="22"/>
  <c r="E18" i="22" s="1"/>
  <c r="U6" i="22"/>
  <c r="U8" i="22" s="1"/>
  <c r="AV6" i="22"/>
  <c r="AV16" i="22" s="1"/>
  <c r="X6" i="22"/>
  <c r="X8" i="22" s="1"/>
  <c r="BW6" i="22"/>
  <c r="BW9" i="22" s="1"/>
  <c r="T8" i="22"/>
  <c r="T6" i="22"/>
  <c r="AC8" i="22"/>
  <c r="AL16" i="22"/>
  <c r="AL11" i="22"/>
  <c r="AL6" i="22"/>
  <c r="BM13" i="22"/>
  <c r="BD11" i="22"/>
  <c r="D9" i="22"/>
  <c r="BD16" i="22"/>
  <c r="AU11" i="22"/>
  <c r="AU12" i="22"/>
  <c r="BV7" i="22"/>
  <c r="BD7" i="22"/>
  <c r="AU13" i="22"/>
  <c r="AU10" i="22"/>
  <c r="AU7" i="22"/>
  <c r="AU8" i="22"/>
  <c r="AU15" i="22"/>
  <c r="BM16" i="22"/>
  <c r="BD13" i="22"/>
  <c r="BD14" i="22"/>
  <c r="AU14" i="22"/>
  <c r="AU9" i="22"/>
  <c r="BM11" i="22"/>
  <c r="AU6" i="22"/>
  <c r="BD12" i="22"/>
  <c r="BD15" i="22"/>
  <c r="BD9" i="22"/>
  <c r="BG18" i="22"/>
  <c r="BH18" i="22"/>
  <c r="D13" i="22"/>
  <c r="BD17" i="22"/>
  <c r="BD8" i="22"/>
  <c r="BD10" i="22"/>
  <c r="BD6" i="22"/>
  <c r="BM12" i="22"/>
  <c r="BM10" i="22"/>
  <c r="BM8" i="22"/>
  <c r="BM15" i="22"/>
  <c r="BM9" i="22"/>
  <c r="D8" i="22"/>
  <c r="BM7" i="22"/>
  <c r="BP18" i="22"/>
  <c r="BQ18" i="22"/>
  <c r="BM14" i="22"/>
  <c r="BM17" i="22"/>
  <c r="BM6" i="22"/>
  <c r="D16" i="22"/>
  <c r="BV8" i="22"/>
  <c r="BY9" i="22"/>
  <c r="BZ9" i="22"/>
  <c r="D12" i="22"/>
  <c r="D11" i="22"/>
  <c r="D14" i="22"/>
  <c r="D15" i="22"/>
  <c r="D10" i="22"/>
  <c r="D17" i="22"/>
  <c r="D7" i="22"/>
  <c r="G18" i="22"/>
  <c r="H18" i="22"/>
  <c r="F4" i="16"/>
  <c r="T4" i="16"/>
  <c r="CI6" i="22"/>
  <c r="CH6" i="22"/>
  <c r="CR6" i="22"/>
  <c r="FL6" i="22"/>
  <c r="HW6" i="22"/>
  <c r="HV6" i="22"/>
  <c r="HT6" i="22"/>
  <c r="HN6" i="22"/>
  <c r="GD6" i="22"/>
  <c r="GD7" i="22" s="1"/>
  <c r="GC6" i="22"/>
  <c r="GC7" i="22" s="1"/>
  <c r="GM6" i="22"/>
  <c r="GL6" i="22"/>
  <c r="HE6" i="22"/>
  <c r="CC18" i="22"/>
  <c r="CJ17" i="22"/>
  <c r="CI17" i="22"/>
  <c r="CH17" i="22"/>
  <c r="CF17" i="22"/>
  <c r="CD17" i="22"/>
  <c r="CJ16" i="22"/>
  <c r="CI16" i="22"/>
  <c r="CH16" i="22"/>
  <c r="CF16" i="22"/>
  <c r="CD16" i="22"/>
  <c r="CJ15" i="22"/>
  <c r="CI15" i="22"/>
  <c r="CH15" i="22"/>
  <c r="CF15" i="22"/>
  <c r="CD15" i="22"/>
  <c r="CJ14" i="22"/>
  <c r="CI14" i="22"/>
  <c r="CH14" i="22"/>
  <c r="CF14" i="22"/>
  <c r="CD14" i="22"/>
  <c r="CJ13" i="22"/>
  <c r="CI13" i="22"/>
  <c r="CH13" i="22"/>
  <c r="CF13" i="22"/>
  <c r="CD13" i="22"/>
  <c r="CJ12" i="22"/>
  <c r="CI12" i="22"/>
  <c r="CH12" i="22"/>
  <c r="CF12" i="22"/>
  <c r="CD12" i="22"/>
  <c r="CJ11" i="22"/>
  <c r="CI11" i="22"/>
  <c r="CH11" i="22"/>
  <c r="CF11" i="22"/>
  <c r="CD11" i="22"/>
  <c r="CJ10" i="22"/>
  <c r="CI10" i="22"/>
  <c r="CH10" i="22"/>
  <c r="CF10" i="22"/>
  <c r="CD10" i="22"/>
  <c r="CJ9" i="22"/>
  <c r="CI9" i="22"/>
  <c r="CH9" i="22"/>
  <c r="CF9" i="22"/>
  <c r="CD9" i="22"/>
  <c r="CJ8" i="22"/>
  <c r="CI8" i="22"/>
  <c r="CH8" i="22"/>
  <c r="CF8" i="22"/>
  <c r="CD8" i="22"/>
  <c r="CJ7" i="22"/>
  <c r="CI7" i="22"/>
  <c r="CH7" i="22"/>
  <c r="CF7" i="22"/>
  <c r="CD7" i="22"/>
  <c r="CJ6" i="22"/>
  <c r="CJ18" i="22" s="1"/>
  <c r="CD6" i="22"/>
  <c r="CL16" i="22"/>
  <c r="CS15" i="22"/>
  <c r="CR15" i="22"/>
  <c r="CQ15" i="22"/>
  <c r="CO15" i="22"/>
  <c r="CM15" i="22"/>
  <c r="CS14" i="22"/>
  <c r="CR14" i="22"/>
  <c r="CQ14" i="22"/>
  <c r="CO14" i="22"/>
  <c r="CM14" i="22"/>
  <c r="CS13" i="22"/>
  <c r="CR13" i="22"/>
  <c r="CQ13" i="22"/>
  <c r="CO13" i="22"/>
  <c r="CM13" i="22"/>
  <c r="CS12" i="22"/>
  <c r="CR12" i="22"/>
  <c r="CQ12" i="22"/>
  <c r="CO12" i="22"/>
  <c r="CM12" i="22"/>
  <c r="CS11" i="22"/>
  <c r="CR11" i="22"/>
  <c r="CQ11" i="22"/>
  <c r="CO11" i="22"/>
  <c r="CM11" i="22"/>
  <c r="CS10" i="22"/>
  <c r="CR10" i="22"/>
  <c r="CQ10" i="22"/>
  <c r="CO10" i="22"/>
  <c r="CM10" i="22"/>
  <c r="CS9" i="22"/>
  <c r="CR9" i="22"/>
  <c r="CQ9" i="22"/>
  <c r="CO9" i="22"/>
  <c r="CM9" i="22"/>
  <c r="CS8" i="22"/>
  <c r="CR8" i="22"/>
  <c r="CQ8" i="22"/>
  <c r="CO8" i="22"/>
  <c r="CM8" i="22"/>
  <c r="CS7" i="22"/>
  <c r="CR7" i="22"/>
  <c r="CQ7" i="22"/>
  <c r="CO7" i="22"/>
  <c r="CM7" i="22"/>
  <c r="CS6" i="22"/>
  <c r="CS16" i="22" s="1"/>
  <c r="CM6" i="22"/>
  <c r="HQ9" i="22"/>
  <c r="HX8" i="22"/>
  <c r="HW8" i="22"/>
  <c r="HV8" i="22"/>
  <c r="HT8" i="22"/>
  <c r="HR8" i="22"/>
  <c r="HX7" i="22"/>
  <c r="HW7" i="22"/>
  <c r="HV7" i="22"/>
  <c r="HT7" i="22"/>
  <c r="HR7" i="22"/>
  <c r="HX6" i="22"/>
  <c r="HX9" i="22" s="1"/>
  <c r="HR6" i="22"/>
  <c r="FC9" i="22"/>
  <c r="FL9" i="22"/>
  <c r="FU9" i="22"/>
  <c r="GM8" i="22"/>
  <c r="HO14" i="22"/>
  <c r="HN14" i="22"/>
  <c r="HM14" i="22"/>
  <c r="HK14" i="22"/>
  <c r="HI14" i="22"/>
  <c r="HO13" i="22"/>
  <c r="HN13" i="22"/>
  <c r="HM13" i="22"/>
  <c r="HK13" i="22"/>
  <c r="HI13" i="22"/>
  <c r="HO12" i="22"/>
  <c r="HN12" i="22"/>
  <c r="HM12" i="22"/>
  <c r="HK12" i="22"/>
  <c r="HI12" i="22"/>
  <c r="HO11" i="22"/>
  <c r="HM11" i="22"/>
  <c r="HK11" i="22"/>
  <c r="HI11" i="22"/>
  <c r="HO10" i="22"/>
  <c r="HN10" i="22"/>
  <c r="HM10" i="22"/>
  <c r="HK10" i="22"/>
  <c r="HI10" i="22"/>
  <c r="HO9" i="22"/>
  <c r="HN9" i="22"/>
  <c r="HM9" i="22"/>
  <c r="HK9" i="22"/>
  <c r="HI9" i="22"/>
  <c r="HO8" i="22"/>
  <c r="HN8" i="22"/>
  <c r="HM8" i="22"/>
  <c r="HK8" i="22"/>
  <c r="HI8" i="22"/>
  <c r="HO7" i="22"/>
  <c r="HN7" i="22"/>
  <c r="HM7" i="22"/>
  <c r="HK7" i="22"/>
  <c r="HI7" i="22"/>
  <c r="HO6" i="22"/>
  <c r="HO15" i="22" s="1"/>
  <c r="HI6" i="22"/>
  <c r="GY8" i="22"/>
  <c r="HF7" i="22"/>
  <c r="HE7" i="22"/>
  <c r="HD7" i="22"/>
  <c r="HB7" i="22"/>
  <c r="GZ7" i="22"/>
  <c r="HF6" i="22"/>
  <c r="HF8" i="22" s="1"/>
  <c r="GZ6" i="22"/>
  <c r="GP8" i="22"/>
  <c r="GW7" i="22"/>
  <c r="GV7" i="22"/>
  <c r="GU7" i="22"/>
  <c r="GS7" i="22"/>
  <c r="GQ7" i="22"/>
  <c r="GW6" i="22"/>
  <c r="GW8" i="22" s="1"/>
  <c r="GV6" i="22"/>
  <c r="GQ6" i="22"/>
  <c r="GG9" i="22"/>
  <c r="GN8" i="22"/>
  <c r="GL8" i="22"/>
  <c r="GJ8" i="22"/>
  <c r="GH8" i="22"/>
  <c r="GN7" i="22"/>
  <c r="GM7" i="22"/>
  <c r="GL7" i="22"/>
  <c r="GJ7" i="22"/>
  <c r="GH7" i="22"/>
  <c r="GN6" i="22"/>
  <c r="GN9" i="22" s="1"/>
  <c r="GH6" i="22"/>
  <c r="L55" i="1"/>
  <c r="M55" i="1"/>
  <c r="L72" i="1"/>
  <c r="M72" i="1"/>
  <c r="L71" i="1"/>
  <c r="M71" i="1"/>
  <c r="FO10" i="22"/>
  <c r="FV9" i="22"/>
  <c r="FT9" i="22"/>
  <c r="FR9" i="22"/>
  <c r="FP9" i="22"/>
  <c r="FV8" i="22"/>
  <c r="FU8" i="22"/>
  <c r="FT8" i="22"/>
  <c r="FR8" i="22"/>
  <c r="FP8" i="22"/>
  <c r="FV7" i="22"/>
  <c r="FU7" i="22"/>
  <c r="FT7" i="22"/>
  <c r="FR7" i="22"/>
  <c r="FP7" i="22"/>
  <c r="FV6" i="22"/>
  <c r="FV10" i="22" s="1"/>
  <c r="FU6" i="22"/>
  <c r="FP6" i="22"/>
  <c r="FX7" i="22"/>
  <c r="GE6" i="22"/>
  <c r="GE7" i="22" s="1"/>
  <c r="FY6" i="22"/>
  <c r="FG6" i="22"/>
  <c r="FM6" i="22"/>
  <c r="FM10" i="22" s="1"/>
  <c r="FG7" i="22"/>
  <c r="FI7" i="22"/>
  <c r="FK7" i="22"/>
  <c r="FL7" i="22"/>
  <c r="FM7" i="22"/>
  <c r="FG8" i="22"/>
  <c r="FI8" i="22"/>
  <c r="FK8" i="22"/>
  <c r="FL8" i="22"/>
  <c r="FM8" i="22"/>
  <c r="FG9" i="22"/>
  <c r="FI9" i="22"/>
  <c r="FK9" i="22"/>
  <c r="FM9" i="22"/>
  <c r="FF10" i="22"/>
  <c r="T36" i="16"/>
  <c r="T40" i="16"/>
  <c r="T42" i="16"/>
  <c r="T44" i="16"/>
  <c r="F62" i="16"/>
  <c r="H62" i="16"/>
  <c r="C62" i="16" s="1"/>
  <c r="H63" i="16"/>
  <c r="C63" i="16" s="1"/>
  <c r="C64" i="16"/>
  <c r="H64" i="16"/>
  <c r="I64" i="16"/>
  <c r="C65" i="16"/>
  <c r="C66" i="16"/>
  <c r="K66" i="16"/>
  <c r="C67" i="16"/>
  <c r="M68" i="16"/>
  <c r="C68" i="16" s="1"/>
  <c r="N68" i="16"/>
  <c r="C69" i="16"/>
  <c r="F69" i="16"/>
  <c r="C70" i="16"/>
  <c r="F71" i="16"/>
  <c r="C71" i="16" s="1"/>
  <c r="G72" i="16"/>
  <c r="C72" i="16" s="1"/>
  <c r="I72" i="16"/>
  <c r="K72" i="16"/>
  <c r="L72" i="16"/>
  <c r="M72" i="16"/>
  <c r="O72" i="16"/>
  <c r="F73" i="16"/>
  <c r="C73" i="16" s="1"/>
  <c r="G73" i="16"/>
  <c r="H73" i="16"/>
  <c r="C74" i="16"/>
  <c r="J74" i="16"/>
  <c r="K74" i="16"/>
  <c r="J75" i="16"/>
  <c r="C75" i="16" s="1"/>
  <c r="EW11" i="22"/>
  <c r="FD10" i="22"/>
  <c r="FC10" i="22"/>
  <c r="FB10" i="22"/>
  <c r="EZ10" i="22"/>
  <c r="EX10" i="22"/>
  <c r="FD9" i="22"/>
  <c r="FB9" i="22"/>
  <c r="EZ9" i="22"/>
  <c r="EX9" i="22"/>
  <c r="FC8" i="22"/>
  <c r="FB8" i="22"/>
  <c r="EZ8" i="22"/>
  <c r="EX8" i="22"/>
  <c r="FD7" i="22"/>
  <c r="FC7" i="22"/>
  <c r="FB7" i="22"/>
  <c r="EZ7" i="22"/>
  <c r="EX7" i="22"/>
  <c r="FC6" i="22"/>
  <c r="EX6" i="22"/>
  <c r="BV6" i="22" l="1"/>
  <c r="AC6" i="22"/>
  <c r="D6" i="22"/>
  <c r="CN10" i="22"/>
  <c r="CE13" i="22"/>
  <c r="BD18" i="22"/>
  <c r="CE14" i="22"/>
  <c r="BM18" i="22"/>
  <c r="BV9" i="22"/>
  <c r="D18" i="22"/>
  <c r="CE10" i="22"/>
  <c r="CE7" i="22"/>
  <c r="CE15" i="22"/>
  <c r="CE16" i="22"/>
  <c r="CE11" i="22"/>
  <c r="CE12" i="22"/>
  <c r="CN8" i="22"/>
  <c r="CN15" i="22"/>
  <c r="CE8" i="22"/>
  <c r="CN9" i="22"/>
  <c r="CN12" i="22"/>
  <c r="CN11" i="22"/>
  <c r="CN13" i="22"/>
  <c r="CN14" i="22"/>
  <c r="CI18" i="22"/>
  <c r="GS6" i="22"/>
  <c r="GS8" i="22" s="1"/>
  <c r="GA6" i="22"/>
  <c r="GA7" i="22" s="1"/>
  <c r="FZ7" i="22" s="1"/>
  <c r="FI6" i="22"/>
  <c r="HK6" i="22"/>
  <c r="HK15" i="22" s="1"/>
  <c r="HB6" i="22"/>
  <c r="HB8" i="22" s="1"/>
  <c r="FR6" i="22"/>
  <c r="FR10" i="22" s="1"/>
  <c r="CO6" i="22"/>
  <c r="CO16" i="22" s="1"/>
  <c r="GJ6" i="22"/>
  <c r="GJ9" i="22" s="1"/>
  <c r="EZ6" i="22"/>
  <c r="FB6" i="22"/>
  <c r="FB11" i="22" s="1"/>
  <c r="EJ6" i="22"/>
  <c r="GU6" i="22"/>
  <c r="GU8" i="22" s="1"/>
  <c r="CF6" i="22"/>
  <c r="CE6" i="22" s="1"/>
  <c r="CQ6" i="22"/>
  <c r="CQ16" i="22" s="1"/>
  <c r="HD6" i="22"/>
  <c r="HD8" i="22" s="1"/>
  <c r="HM6" i="22"/>
  <c r="HM15" i="22" s="1"/>
  <c r="FK6" i="22"/>
  <c r="FK10" i="22" s="1"/>
  <c r="CH18" i="22"/>
  <c r="CE17" i="22"/>
  <c r="CE9" i="22"/>
  <c r="GR7" i="22"/>
  <c r="CN7" i="22"/>
  <c r="CR16" i="22"/>
  <c r="HJ11" i="22"/>
  <c r="HW9" i="22"/>
  <c r="HS6" i="22"/>
  <c r="HJ8" i="22"/>
  <c r="HJ13" i="22"/>
  <c r="HS7" i="22"/>
  <c r="EY7" i="22"/>
  <c r="HS8" i="22"/>
  <c r="HT9" i="22"/>
  <c r="HV9" i="22"/>
  <c r="GI7" i="22"/>
  <c r="HJ10" i="22"/>
  <c r="HJ7" i="22"/>
  <c r="HJ12" i="22"/>
  <c r="EY10" i="22"/>
  <c r="GL9" i="22"/>
  <c r="FH7" i="22"/>
  <c r="HN15" i="22"/>
  <c r="FQ7" i="22"/>
  <c r="GI8" i="22"/>
  <c r="HJ14" i="22"/>
  <c r="HJ9" i="22"/>
  <c r="HA7" i="22"/>
  <c r="HE8" i="22"/>
  <c r="GV8" i="22"/>
  <c r="GM9" i="22"/>
  <c r="FC11" i="22"/>
  <c r="FQ8" i="22"/>
  <c r="FH8" i="22"/>
  <c r="FL10" i="22"/>
  <c r="FQ9" i="22"/>
  <c r="EY8" i="22"/>
  <c r="FH9" i="22"/>
  <c r="EY9" i="22"/>
  <c r="FU10" i="22"/>
  <c r="EN7" i="22"/>
  <c r="EU6" i="22"/>
  <c r="EU7" i="22" s="1"/>
  <c r="ET6" i="22"/>
  <c r="ES6" i="22"/>
  <c r="EQ6" i="22"/>
  <c r="EO6" i="22"/>
  <c r="EE10" i="22"/>
  <c r="EL9" i="22"/>
  <c r="EK9" i="22"/>
  <c r="EJ9" i="22"/>
  <c r="EH9" i="22"/>
  <c r="EF9" i="22"/>
  <c r="EL8" i="22"/>
  <c r="EK8" i="22"/>
  <c r="EJ8" i="22"/>
  <c r="EH8" i="22"/>
  <c r="EF8" i="22"/>
  <c r="EL7" i="22"/>
  <c r="EK7" i="22"/>
  <c r="EJ7" i="22"/>
  <c r="EH7" i="22"/>
  <c r="EF7" i="22"/>
  <c r="EL6" i="22"/>
  <c r="EL10" i="22" s="1"/>
  <c r="EK6" i="22"/>
  <c r="EH6" i="22"/>
  <c r="EF6" i="22"/>
  <c r="DV27" i="22"/>
  <c r="EB26" i="22"/>
  <c r="EB27" i="22" s="1"/>
  <c r="EA26" i="22"/>
  <c r="EA27" i="22" s="1"/>
  <c r="DY26" i="22"/>
  <c r="DY27" i="22" s="1"/>
  <c r="DW26" i="22"/>
  <c r="EA24" i="22"/>
  <c r="DY24" i="22"/>
  <c r="DV11" i="22"/>
  <c r="EC10" i="22"/>
  <c r="EB10" i="22"/>
  <c r="EA10" i="22"/>
  <c r="DY10" i="22"/>
  <c r="DW10" i="22"/>
  <c r="EC9" i="22"/>
  <c r="EA9" i="22"/>
  <c r="DY9" i="22"/>
  <c r="DW9" i="22"/>
  <c r="EC8" i="22"/>
  <c r="EB8" i="22"/>
  <c r="EA8" i="22"/>
  <c r="DY8" i="22"/>
  <c r="DW8" i="22"/>
  <c r="EC7" i="22"/>
  <c r="EB7" i="22"/>
  <c r="EA7" i="22"/>
  <c r="DY7" i="22"/>
  <c r="DW7" i="22"/>
  <c r="EB6" i="22"/>
  <c r="EA6" i="22"/>
  <c r="DY6" i="22"/>
  <c r="DW6" i="22"/>
  <c r="DD37" i="22"/>
  <c r="DJ36" i="22"/>
  <c r="DI36" i="22"/>
  <c r="DG36" i="22"/>
  <c r="DE36" i="22"/>
  <c r="DJ35" i="22"/>
  <c r="DI35" i="22"/>
  <c r="DG35" i="22"/>
  <c r="DE35" i="22"/>
  <c r="DJ34" i="22"/>
  <c r="DI34" i="22"/>
  <c r="DG34" i="22"/>
  <c r="DE34" i="22"/>
  <c r="DJ33" i="22"/>
  <c r="DI33" i="22"/>
  <c r="DG33" i="22"/>
  <c r="DE33" i="22"/>
  <c r="DJ32" i="22"/>
  <c r="DI32" i="22"/>
  <c r="DG32" i="22"/>
  <c r="DE32" i="22"/>
  <c r="DJ31" i="22"/>
  <c r="DI31" i="22"/>
  <c r="DG31" i="22"/>
  <c r="DE31" i="22"/>
  <c r="DI30" i="22"/>
  <c r="DG30" i="22"/>
  <c r="DE30" i="22"/>
  <c r="DK29" i="22"/>
  <c r="DJ29" i="22"/>
  <c r="DI29" i="22"/>
  <c r="DG29" i="22"/>
  <c r="DE29" i="22"/>
  <c r="DJ28" i="22"/>
  <c r="DI28" i="22"/>
  <c r="DG28" i="22"/>
  <c r="DE28" i="22"/>
  <c r="DJ27" i="22"/>
  <c r="DI27" i="22"/>
  <c r="DG27" i="22"/>
  <c r="DE27" i="22"/>
  <c r="DJ26" i="22"/>
  <c r="DI26" i="22"/>
  <c r="DG26" i="22"/>
  <c r="DE26" i="22"/>
  <c r="DI24" i="22"/>
  <c r="DG24" i="22"/>
  <c r="DN26" i="22"/>
  <c r="DP26" i="22"/>
  <c r="DR26" i="22"/>
  <c r="DR27" i="22" s="1"/>
  <c r="DS26" i="22"/>
  <c r="DS27" i="22" s="1"/>
  <c r="DM27" i="22"/>
  <c r="FH6" i="22" l="1"/>
  <c r="GR6" i="22"/>
  <c r="EY6" i="22"/>
  <c r="HJ6" i="22"/>
  <c r="HA6" i="22"/>
  <c r="CF18" i="22"/>
  <c r="CE18" i="22" s="1"/>
  <c r="EZ11" i="22"/>
  <c r="EY11" i="22" s="1"/>
  <c r="FI10" i="22"/>
  <c r="FH10" i="22" s="1"/>
  <c r="GI6" i="22"/>
  <c r="CN6" i="22"/>
  <c r="FT6" i="22"/>
  <c r="FZ6" i="22"/>
  <c r="GR8" i="22"/>
  <c r="CN16" i="22"/>
  <c r="HS9" i="22"/>
  <c r="DX9" i="22"/>
  <c r="GI9" i="22"/>
  <c r="HA8" i="22"/>
  <c r="HJ15" i="22"/>
  <c r="DF30" i="22"/>
  <c r="EG8" i="22"/>
  <c r="DF32" i="22"/>
  <c r="EK10" i="22"/>
  <c r="DI37" i="22"/>
  <c r="ET7" i="22"/>
  <c r="DF36" i="22"/>
  <c r="DF24" i="22"/>
  <c r="DF29" i="22"/>
  <c r="EP6" i="22"/>
  <c r="DF33" i="22"/>
  <c r="DX27" i="22"/>
  <c r="DJ37" i="22"/>
  <c r="EH10" i="22"/>
  <c r="DO26" i="22"/>
  <c r="DF28" i="22"/>
  <c r="EG6" i="22"/>
  <c r="EQ7" i="22"/>
  <c r="ES7" i="22"/>
  <c r="EJ10" i="22"/>
  <c r="EG9" i="22"/>
  <c r="EG7" i="22"/>
  <c r="DX24" i="22"/>
  <c r="DX26" i="22"/>
  <c r="EB11" i="22"/>
  <c r="DF26" i="22"/>
  <c r="DX10" i="22"/>
  <c r="DG37" i="22"/>
  <c r="DX7" i="22"/>
  <c r="EA11" i="22"/>
  <c r="DF27" i="22"/>
  <c r="DY11" i="22"/>
  <c r="DX8" i="22"/>
  <c r="DF31" i="22"/>
  <c r="DX6" i="22"/>
  <c r="DF35" i="22"/>
  <c r="DF34" i="22"/>
  <c r="DP27" i="22"/>
  <c r="DO27" i="22" s="1"/>
  <c r="DM8" i="22"/>
  <c r="DS7" i="22"/>
  <c r="DR7" i="22"/>
  <c r="DP7" i="22"/>
  <c r="DN7" i="22"/>
  <c r="DS6" i="22"/>
  <c r="DR6" i="22"/>
  <c r="DP6" i="22"/>
  <c r="DN6" i="22"/>
  <c r="DD10" i="22"/>
  <c r="DJ9" i="22"/>
  <c r="DI9" i="22"/>
  <c r="DG9" i="22"/>
  <c r="DE9" i="22"/>
  <c r="DJ8" i="22"/>
  <c r="DI8" i="22"/>
  <c r="DG8" i="22"/>
  <c r="DE8" i="22"/>
  <c r="DK7" i="22"/>
  <c r="DJ7" i="22"/>
  <c r="DI7" i="22"/>
  <c r="DG7" i="22"/>
  <c r="DE7" i="22"/>
  <c r="DK6" i="22"/>
  <c r="DK10" i="22" s="1"/>
  <c r="DJ6" i="22"/>
  <c r="DI6" i="22"/>
  <c r="DG6" i="22"/>
  <c r="DE6" i="22"/>
  <c r="DB10" i="22"/>
  <c r="DB9" i="22"/>
  <c r="DB7" i="22"/>
  <c r="DA17" i="22"/>
  <c r="DA16" i="22"/>
  <c r="DA15" i="22"/>
  <c r="DA14" i="22"/>
  <c r="DA13" i="22"/>
  <c r="DA12" i="22"/>
  <c r="DA11" i="22"/>
  <c r="DA10" i="22"/>
  <c r="DA9" i="22"/>
  <c r="DA8" i="22"/>
  <c r="DA7" i="22"/>
  <c r="DA6" i="22"/>
  <c r="CZ17" i="22"/>
  <c r="CZ16" i="22"/>
  <c r="CZ15" i="22"/>
  <c r="CZ14" i="22"/>
  <c r="CZ13" i="22"/>
  <c r="CZ12" i="22"/>
  <c r="CZ11" i="22"/>
  <c r="CZ10" i="22"/>
  <c r="CZ9" i="22"/>
  <c r="CZ8" i="22"/>
  <c r="CZ7" i="22"/>
  <c r="CZ6" i="22"/>
  <c r="CX17" i="22"/>
  <c r="CX16" i="22"/>
  <c r="CX15" i="22"/>
  <c r="CX14" i="22"/>
  <c r="CX13" i="22"/>
  <c r="CX12" i="22"/>
  <c r="CX11" i="22"/>
  <c r="CX10" i="22"/>
  <c r="CX9" i="22"/>
  <c r="CX8" i="22"/>
  <c r="CX7" i="22"/>
  <c r="CX6" i="22"/>
  <c r="CV17" i="22"/>
  <c r="CV16" i="22"/>
  <c r="CV15" i="22"/>
  <c r="CV14" i="22"/>
  <c r="CV13" i="22"/>
  <c r="CV12" i="22"/>
  <c r="CV11" i="22"/>
  <c r="CV10" i="22"/>
  <c r="CV9" i="22"/>
  <c r="CV8" i="22"/>
  <c r="CV7" i="22"/>
  <c r="CV6" i="22"/>
  <c r="CU18" i="22"/>
  <c r="FT10" i="22" l="1"/>
  <c r="FQ10" i="22" s="1"/>
  <c r="FQ6" i="22"/>
  <c r="DF6" i="22"/>
  <c r="DX11" i="22"/>
  <c r="DF37" i="22"/>
  <c r="EG10" i="22"/>
  <c r="DF9" i="22"/>
  <c r="DR8" i="22"/>
  <c r="DS8" i="22"/>
  <c r="EP7" i="22"/>
  <c r="DO7" i="22"/>
  <c r="DP8" i="22"/>
  <c r="DO6" i="22"/>
  <c r="DJ10" i="22"/>
  <c r="DG10" i="22"/>
  <c r="DF8" i="22"/>
  <c r="DI10" i="22"/>
  <c r="DF7" i="22"/>
  <c r="DA18" i="22"/>
  <c r="CW7" i="22"/>
  <c r="CW10" i="22"/>
  <c r="CW12" i="22"/>
  <c r="CW11" i="22"/>
  <c r="CW16" i="22"/>
  <c r="CW14" i="22"/>
  <c r="CW13" i="22"/>
  <c r="CW6" i="22"/>
  <c r="CW8" i="22"/>
  <c r="CW9" i="22"/>
  <c r="CW15" i="22"/>
  <c r="CZ18" i="22"/>
  <c r="CX18" i="22"/>
  <c r="CW17" i="22"/>
  <c r="DO8" i="22" l="1"/>
  <c r="DF10" i="22"/>
  <c r="CW18" i="22"/>
  <c r="T11" i="16" l="1"/>
  <c r="T6" i="16"/>
  <c r="T13" i="16"/>
  <c r="T33" i="16"/>
  <c r="EC6" i="22" s="1"/>
  <c r="EC11" i="22" s="1"/>
  <c r="FD6" i="22"/>
  <c r="FD11" i="22" s="1"/>
  <c r="F58" i="16"/>
  <c r="F21" i="16"/>
  <c r="F19" i="16"/>
  <c r="F11" i="16"/>
  <c r="K65" i="1"/>
  <c r="D65" i="1" s="1"/>
  <c r="K32" i="1"/>
  <c r="K48" i="1"/>
  <c r="K24" i="1"/>
  <c r="K40" i="1"/>
  <c r="K61" i="1"/>
  <c r="K21" i="1"/>
  <c r="K37" i="1"/>
  <c r="K71" i="1"/>
  <c r="K55" i="1"/>
  <c r="K57" i="1"/>
  <c r="K16" i="1"/>
  <c r="K12" i="1"/>
  <c r="K42" i="1"/>
  <c r="K35" i="1"/>
  <c r="K64" i="1"/>
  <c r="K58" i="1"/>
  <c r="K28" i="1"/>
  <c r="K53" i="1"/>
  <c r="K72" i="1"/>
  <c r="K22" i="1"/>
  <c r="K18" i="1"/>
  <c r="K19" i="1"/>
  <c r="K70" i="1"/>
  <c r="F57" i="16"/>
  <c r="F54" i="16"/>
  <c r="T30" i="16"/>
  <c r="DB6" i="22" s="1"/>
  <c r="DB18" i="22" s="1"/>
  <c r="T32" i="16"/>
  <c r="DT6" i="22" s="1"/>
  <c r="DT8" i="22" s="1"/>
  <c r="K8" i="1"/>
  <c r="K20" i="1"/>
  <c r="K25" i="1"/>
  <c r="K26" i="1"/>
  <c r="K27" i="1"/>
  <c r="K29" i="1"/>
  <c r="K30" i="1"/>
  <c r="K39" i="1"/>
  <c r="K50" i="1"/>
  <c r="K59" i="1"/>
  <c r="K62" i="1"/>
  <c r="K63" i="1"/>
  <c r="K66" i="1"/>
  <c r="K73" i="1"/>
  <c r="K74" i="1"/>
  <c r="J77" i="1"/>
  <c r="K77" i="1"/>
  <c r="K5" i="1"/>
  <c r="G65" i="1"/>
  <c r="H65" i="1"/>
  <c r="J72" i="1" l="1"/>
  <c r="J57" i="1"/>
  <c r="J37" i="1"/>
  <c r="J32" i="1"/>
  <c r="J48" i="1"/>
  <c r="J27" i="1"/>
  <c r="J42" i="1"/>
  <c r="J5" i="1"/>
  <c r="J35" i="1"/>
  <c r="J18" i="1"/>
  <c r="J63" i="1"/>
  <c r="J40" i="1"/>
  <c r="J20" i="1"/>
  <c r="J61" i="1"/>
  <c r="J64" i="1"/>
  <c r="J16" i="1"/>
  <c r="J39" i="1"/>
  <c r="J70" i="1"/>
  <c r="J21" i="1"/>
  <c r="J50" i="1"/>
  <c r="J15" i="1"/>
  <c r="J62" i="1"/>
  <c r="J29" i="1"/>
  <c r="J74" i="1"/>
  <c r="J73" i="1"/>
  <c r="J30" i="1"/>
  <c r="J26" i="1"/>
  <c r="J28" i="1"/>
  <c r="J19" i="1"/>
  <c r="J53" i="1"/>
  <c r="J8" i="1"/>
  <c r="J59" i="1"/>
  <c r="J25" i="1"/>
  <c r="J12" i="1"/>
  <c r="J71" i="1"/>
  <c r="J55" i="1"/>
  <c r="J65" i="1"/>
  <c r="C65" i="1" s="1"/>
  <c r="D76" i="12" s="1"/>
  <c r="J22" i="1"/>
  <c r="J58" i="1"/>
  <c r="J24" i="1"/>
  <c r="J66" i="1"/>
  <c r="K15" i="1"/>
  <c r="F65" i="1"/>
  <c r="AU71" i="12"/>
  <c r="G71" i="1"/>
  <c r="GW2" i="22" s="1"/>
  <c r="H71" i="1"/>
  <c r="GW3" i="22" s="1"/>
  <c r="G72" i="1"/>
  <c r="HF2" i="22" s="1"/>
  <c r="H72" i="1"/>
  <c r="HF3" i="22" s="1"/>
  <c r="D71" i="1"/>
  <c r="GU4" i="22" s="1"/>
  <c r="D72" i="1"/>
  <c r="HD4" i="22" s="1"/>
  <c r="D64" i="1"/>
  <c r="GC4" i="22" s="1"/>
  <c r="G64" i="1"/>
  <c r="GE2" i="22" s="1"/>
  <c r="H64" i="1"/>
  <c r="GE3" i="22" s="1"/>
  <c r="T26" i="16"/>
  <c r="F41" i="16"/>
  <c r="F2" i="16" s="1"/>
  <c r="E65" i="1" l="1"/>
  <c r="H75" i="12" s="1"/>
  <c r="C64" i="1"/>
  <c r="E64" i="1" l="1"/>
  <c r="H55" i="12" s="1"/>
  <c r="GA4" i="22"/>
  <c r="FZ4" i="22" s="1"/>
  <c r="C71" i="1"/>
  <c r="GS4" i="22" s="1"/>
  <c r="GR4" i="22" s="1"/>
  <c r="F71" i="1"/>
  <c r="D73" i="12"/>
  <c r="C72" i="1"/>
  <c r="F72" i="1"/>
  <c r="F64" i="1"/>
  <c r="AX236" i="12"/>
  <c r="AX8" i="12"/>
  <c r="AX212" i="12"/>
  <c r="AX100" i="12"/>
  <c r="AX67" i="12"/>
  <c r="AX78" i="12"/>
  <c r="AX237" i="12"/>
  <c r="AX122" i="12"/>
  <c r="AX142" i="12"/>
  <c r="AX50" i="12"/>
  <c r="AX116" i="12"/>
  <c r="AX143" i="12"/>
  <c r="AX213" i="12"/>
  <c r="AX31" i="12"/>
  <c r="AX51" i="12"/>
  <c r="AX79" i="12"/>
  <c r="AX117" i="12"/>
  <c r="AX32" i="12"/>
  <c r="AX52" i="12"/>
  <c r="AX68" i="12"/>
  <c r="AX238" i="12"/>
  <c r="AX263" i="12"/>
  <c r="AX53" i="12"/>
  <c r="AX153" i="12"/>
  <c r="AX289" i="12"/>
  <c r="AX251" i="12"/>
  <c r="AX5" i="12"/>
  <c r="AX80" i="12"/>
  <c r="AX81" i="12"/>
  <c r="AX82" i="12"/>
  <c r="AX214" i="12"/>
  <c r="AX144" i="12"/>
  <c r="AX264" i="12"/>
  <c r="AX154" i="12"/>
  <c r="AX239" i="12"/>
  <c r="AX282" i="12"/>
  <c r="AX220" i="12"/>
  <c r="AX30" i="12"/>
  <c r="W11" i="16"/>
  <c r="W7" i="16"/>
  <c r="G36" i="16"/>
  <c r="G57" i="16"/>
  <c r="W5" i="16"/>
  <c r="DT7" i="22" s="1"/>
  <c r="D52" i="12" l="1"/>
  <c r="HB4" i="22"/>
  <c r="HA4" i="22" s="1"/>
  <c r="E72" i="1"/>
  <c r="H42" i="12" s="1"/>
  <c r="D55" i="12"/>
  <c r="E71" i="1"/>
  <c r="H69" i="12" s="1"/>
  <c r="X45" i="20"/>
  <c r="C45" i="20" s="1"/>
  <c r="X43" i="20"/>
  <c r="D35" i="20" s="1"/>
  <c r="AP42" i="20"/>
  <c r="F42" i="20" s="1"/>
  <c r="X42" i="20"/>
  <c r="C42" i="20" s="1"/>
  <c r="AP40" i="20"/>
  <c r="F40" i="20" s="1"/>
  <c r="F48" i="20" s="1"/>
  <c r="X40" i="20"/>
  <c r="C40" i="20" s="1"/>
  <c r="AP39" i="20"/>
  <c r="F39" i="20" s="1"/>
  <c r="X39" i="20"/>
  <c r="C39" i="20" s="1"/>
  <c r="AP38" i="20"/>
  <c r="F38" i="20" s="1"/>
  <c r="X38" i="20"/>
  <c r="C38" i="20" s="1"/>
  <c r="AP37" i="20"/>
  <c r="F37" i="20" s="1"/>
  <c r="X37" i="20"/>
  <c r="C37" i="20" s="1"/>
  <c r="AP36" i="20"/>
  <c r="F36" i="20" s="1"/>
  <c r="X36" i="20"/>
  <c r="C36" i="20" s="1"/>
  <c r="E36" i="20" s="1"/>
  <c r="D36" i="20"/>
  <c r="AP35" i="20"/>
  <c r="F35" i="20" s="1"/>
  <c r="X35" i="20"/>
  <c r="C35" i="20" s="1"/>
  <c r="AP34" i="20"/>
  <c r="F34" i="20" s="1"/>
  <c r="X34" i="20"/>
  <c r="C34" i="20" s="1"/>
  <c r="AP33" i="20"/>
  <c r="F33" i="20" s="1"/>
  <c r="X33" i="20"/>
  <c r="C33" i="20" s="1"/>
  <c r="AP32" i="20"/>
  <c r="F32" i="20" s="1"/>
  <c r="X32" i="20"/>
  <c r="C32" i="20" s="1"/>
  <c r="AP31" i="20"/>
  <c r="F31" i="20" s="1"/>
  <c r="X31" i="20"/>
  <c r="C31" i="20" s="1"/>
  <c r="AP30" i="20"/>
  <c r="F30" i="20" s="1"/>
  <c r="X30" i="20"/>
  <c r="C30" i="20" s="1"/>
  <c r="AP29" i="20"/>
  <c r="F29" i="20" s="1"/>
  <c r="X29" i="20"/>
  <c r="C29" i="20" s="1"/>
  <c r="AP28" i="20"/>
  <c r="F28" i="20" s="1"/>
  <c r="X28" i="20"/>
  <c r="C28" i="20" s="1"/>
  <c r="D28" i="20"/>
  <c r="AP27" i="20"/>
  <c r="F27" i="20" s="1"/>
  <c r="X27" i="20"/>
  <c r="C27" i="20" s="1"/>
  <c r="AP26" i="20"/>
  <c r="F26" i="20" s="1"/>
  <c r="X26" i="20"/>
  <c r="C26" i="20" s="1"/>
  <c r="AP25" i="20"/>
  <c r="F25" i="20" s="1"/>
  <c r="X25" i="20"/>
  <c r="C25" i="20" s="1"/>
  <c r="AP24" i="20"/>
  <c r="F24" i="20" s="1"/>
  <c r="X24" i="20"/>
  <c r="C24" i="20" s="1"/>
  <c r="AP23" i="20"/>
  <c r="F23" i="20" s="1"/>
  <c r="X23" i="20"/>
  <c r="C23" i="20" s="1"/>
  <c r="AP22" i="20"/>
  <c r="F22" i="20" s="1"/>
  <c r="X22" i="20"/>
  <c r="C22" i="20" s="1"/>
  <c r="AP21" i="20"/>
  <c r="F21" i="20" s="1"/>
  <c r="X21" i="20"/>
  <c r="C21" i="20" s="1"/>
  <c r="AP20" i="20"/>
  <c r="F20" i="20" s="1"/>
  <c r="X20" i="20"/>
  <c r="C20" i="20" s="1"/>
  <c r="E20" i="20" s="1"/>
  <c r="D20" i="20"/>
  <c r="AP19" i="20"/>
  <c r="F19" i="20" s="1"/>
  <c r="X19" i="20"/>
  <c r="C19" i="20" s="1"/>
  <c r="AP18" i="20"/>
  <c r="F18" i="20" s="1"/>
  <c r="X18" i="20"/>
  <c r="C18" i="20" s="1"/>
  <c r="AP17" i="20"/>
  <c r="F17" i="20" s="1"/>
  <c r="X17" i="20"/>
  <c r="C17" i="20" s="1"/>
  <c r="AP16" i="20"/>
  <c r="F16" i="20" s="1"/>
  <c r="X16" i="20"/>
  <c r="C16" i="20" s="1"/>
  <c r="AP15" i="20"/>
  <c r="F15" i="20" s="1"/>
  <c r="X15" i="20"/>
  <c r="C15" i="20" s="1"/>
  <c r="AP14" i="20"/>
  <c r="F14" i="20" s="1"/>
  <c r="X14" i="20"/>
  <c r="C14" i="20" s="1"/>
  <c r="AP13" i="20"/>
  <c r="F13" i="20" s="1"/>
  <c r="X13" i="20"/>
  <c r="C13" i="20" s="1"/>
  <c r="AP12" i="20"/>
  <c r="F12" i="20" s="1"/>
  <c r="X12" i="20"/>
  <c r="C12" i="20" s="1"/>
  <c r="E12" i="20" s="1"/>
  <c r="D12" i="20"/>
  <c r="AP11" i="20"/>
  <c r="F11" i="20" s="1"/>
  <c r="X11" i="20"/>
  <c r="C11" i="20" s="1"/>
  <c r="AP10" i="20"/>
  <c r="F10" i="20" s="1"/>
  <c r="X10" i="20"/>
  <c r="C10" i="20" s="1"/>
  <c r="AP9" i="20"/>
  <c r="F9" i="20" s="1"/>
  <c r="X9" i="20"/>
  <c r="C9" i="20" s="1"/>
  <c r="AP8" i="20"/>
  <c r="F8" i="20" s="1"/>
  <c r="X8" i="20"/>
  <c r="C8" i="20" s="1"/>
  <c r="AP7" i="20"/>
  <c r="F7" i="20" s="1"/>
  <c r="X7" i="20"/>
  <c r="C7" i="20" s="1"/>
  <c r="AP6" i="20"/>
  <c r="F6" i="20" s="1"/>
  <c r="X6" i="20"/>
  <c r="C6" i="20" s="1"/>
  <c r="AP5" i="20"/>
  <c r="F5" i="20" s="1"/>
  <c r="X5" i="20"/>
  <c r="C5" i="20" s="1"/>
  <c r="AP4" i="20"/>
  <c r="F4" i="20" s="1"/>
  <c r="X4" i="20"/>
  <c r="C4" i="20" s="1"/>
  <c r="E4" i="20" s="1"/>
  <c r="D4" i="20"/>
  <c r="AP3" i="20"/>
  <c r="F3" i="20" s="1"/>
  <c r="X3" i="20"/>
  <c r="C3" i="20" s="1"/>
  <c r="E28" i="20" l="1"/>
  <c r="D48" i="20"/>
  <c r="E30" i="20"/>
  <c r="E35" i="20"/>
  <c r="D6" i="20"/>
  <c r="E6" i="20" s="1"/>
  <c r="D14" i="20"/>
  <c r="E14" i="20" s="1"/>
  <c r="D22" i="20"/>
  <c r="E22" i="20" s="1"/>
  <c r="D30" i="20"/>
  <c r="D38" i="20"/>
  <c r="E38" i="20" s="1"/>
  <c r="D9" i="20"/>
  <c r="E9" i="20" s="1"/>
  <c r="D17" i="20"/>
  <c r="E17" i="20" s="1"/>
  <c r="D25" i="20"/>
  <c r="E25" i="20" s="1"/>
  <c r="D33" i="20"/>
  <c r="E33" i="20" s="1"/>
  <c r="D42" i="20"/>
  <c r="E42" i="20" s="1"/>
  <c r="D7" i="20"/>
  <c r="E7" i="20" s="1"/>
  <c r="D15" i="20"/>
  <c r="E15" i="20" s="1"/>
  <c r="D23" i="20"/>
  <c r="E23" i="20" s="1"/>
  <c r="D31" i="20"/>
  <c r="E31" i="20" s="1"/>
  <c r="D39" i="20"/>
  <c r="E39" i="20" s="1"/>
  <c r="D10" i="20"/>
  <c r="E10" i="20" s="1"/>
  <c r="D18" i="20"/>
  <c r="E18" i="20" s="1"/>
  <c r="D26" i="20"/>
  <c r="E26" i="20" s="1"/>
  <c r="D34" i="20"/>
  <c r="E34" i="20" s="1"/>
  <c r="D45" i="20"/>
  <c r="E45" i="20" s="1"/>
  <c r="D5" i="20"/>
  <c r="E5" i="20" s="1"/>
  <c r="D13" i="20"/>
  <c r="E13" i="20" s="1"/>
  <c r="D21" i="20"/>
  <c r="E21" i="20" s="1"/>
  <c r="D29" i="20"/>
  <c r="E29" i="20" s="1"/>
  <c r="D37" i="20"/>
  <c r="E37" i="20" s="1"/>
  <c r="D8" i="20"/>
  <c r="E8" i="20" s="1"/>
  <c r="D16" i="20"/>
  <c r="E16" i="20" s="1"/>
  <c r="D24" i="20"/>
  <c r="E24" i="20" s="1"/>
  <c r="D32" i="20"/>
  <c r="E32" i="20" s="1"/>
  <c r="D40" i="20"/>
  <c r="E48" i="20" s="1"/>
  <c r="D3" i="20"/>
  <c r="E3" i="20" s="1"/>
  <c r="D11" i="20"/>
  <c r="E11" i="20" s="1"/>
  <c r="D19" i="20"/>
  <c r="E19" i="20" s="1"/>
  <c r="D27" i="20"/>
  <c r="E27" i="20" s="1"/>
  <c r="E40" i="20" l="1"/>
  <c r="C48" i="20"/>
  <c r="W9" i="16" l="1"/>
  <c r="G39" i="16"/>
  <c r="W15" i="16"/>
  <c r="W18" i="16"/>
  <c r="W16" i="16"/>
  <c r="G52" i="16"/>
  <c r="G29" i="16"/>
  <c r="G4" i="16"/>
  <c r="G33" i="16"/>
  <c r="G18" i="16"/>
  <c r="W17" i="16"/>
  <c r="W12" i="16"/>
  <c r="W21" i="16"/>
  <c r="G26" i="16" l="1"/>
  <c r="G17" i="16"/>
  <c r="W14" i="16"/>
  <c r="W6" i="16"/>
  <c r="W4" i="16" l="1"/>
  <c r="G24" i="16"/>
  <c r="M20" i="1"/>
  <c r="L20" i="1" l="1"/>
  <c r="G49" i="16" l="1"/>
  <c r="W20" i="16"/>
  <c r="G14" i="16"/>
  <c r="W8" i="16"/>
  <c r="G53" i="16" l="1"/>
  <c r="G47" i="16"/>
  <c r="G27" i="16"/>
  <c r="W19" i="16"/>
  <c r="G2" i="16" l="1"/>
  <c r="W10" i="16"/>
  <c r="DK26" i="22" s="1"/>
  <c r="L58" i="1" l="1"/>
  <c r="M58" i="1"/>
  <c r="D58" i="1" s="1"/>
  <c r="DR4" i="22" s="1"/>
  <c r="G58" i="1"/>
  <c r="DT2" i="22" s="1"/>
  <c r="H58" i="1"/>
  <c r="DT3" i="22" s="1"/>
  <c r="C58" i="1" l="1"/>
  <c r="F58" i="1"/>
  <c r="W13" i="16"/>
  <c r="E58" i="1" l="1"/>
  <c r="H4" i="12" s="1"/>
  <c r="DP4" i="22"/>
  <c r="DO4" i="22" s="1"/>
  <c r="D51" i="12"/>
  <c r="AH5" i="12"/>
  <c r="AH4" i="12"/>
  <c r="L54" i="1" l="1"/>
  <c r="C6" i="16" l="1"/>
  <c r="C31" i="16"/>
  <c r="C40" i="16"/>
  <c r="C51" i="16"/>
  <c r="C58" i="16"/>
  <c r="C60" i="16"/>
  <c r="C57" i="16"/>
  <c r="C34" i="16"/>
  <c r="AU72" i="12"/>
  <c r="AU43" i="12"/>
  <c r="L8" i="1"/>
  <c r="M8" i="1"/>
  <c r="L12" i="1"/>
  <c r="M12" i="1"/>
  <c r="L15" i="1"/>
  <c r="M15" i="1"/>
  <c r="L16" i="1"/>
  <c r="M16" i="1"/>
  <c r="L18" i="1"/>
  <c r="M18" i="1"/>
  <c r="L19" i="1"/>
  <c r="M19" i="1"/>
  <c r="L21" i="1"/>
  <c r="M21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4" i="1"/>
  <c r="M34" i="1"/>
  <c r="L35" i="1"/>
  <c r="M35" i="1"/>
  <c r="D35" i="1" s="1"/>
  <c r="AF4" i="22" s="1"/>
  <c r="L37" i="1"/>
  <c r="M37" i="1"/>
  <c r="L39" i="1"/>
  <c r="M39" i="1"/>
  <c r="L40" i="1"/>
  <c r="M40" i="1"/>
  <c r="L42" i="1"/>
  <c r="M42" i="1"/>
  <c r="L48" i="1"/>
  <c r="M48" i="1"/>
  <c r="L50" i="1"/>
  <c r="M50" i="1"/>
  <c r="L53" i="1"/>
  <c r="M53" i="1"/>
  <c r="M54" i="1"/>
  <c r="L57" i="1"/>
  <c r="M57" i="1"/>
  <c r="L59" i="1"/>
  <c r="M59" i="1"/>
  <c r="L62" i="1"/>
  <c r="M62" i="1"/>
  <c r="L63" i="1"/>
  <c r="M63" i="1"/>
  <c r="L66" i="1"/>
  <c r="M66" i="1"/>
  <c r="L70" i="1"/>
  <c r="M70" i="1"/>
  <c r="L73" i="1"/>
  <c r="M73" i="1"/>
  <c r="L74" i="1"/>
  <c r="M74" i="1"/>
  <c r="L77" i="1"/>
  <c r="M77" i="1"/>
  <c r="M5" i="1"/>
  <c r="L5" i="1"/>
  <c r="C35" i="1" l="1"/>
  <c r="F35" i="1"/>
  <c r="G35" i="1"/>
  <c r="AH2" i="22" s="1"/>
  <c r="H35" i="1"/>
  <c r="AH3" i="22" s="1"/>
  <c r="E35" i="1" l="1"/>
  <c r="AD4" i="22"/>
  <c r="AC4" i="22" s="1"/>
  <c r="D53" i="12"/>
  <c r="H49" i="12"/>
  <c r="AX118" i="12"/>
  <c r="AX145" i="12"/>
  <c r="AX101" i="12"/>
  <c r="AX155" i="12"/>
  <c r="AX146" i="12"/>
  <c r="AX43" i="12"/>
  <c r="AX223" i="12"/>
  <c r="AX240" i="12"/>
  <c r="AX181" i="12"/>
  <c r="AX224" i="12"/>
  <c r="AX44" i="12"/>
  <c r="AX33" i="12"/>
  <c r="AX102" i="12"/>
  <c r="AX215" i="12"/>
  <c r="AX34" i="12"/>
  <c r="AX54" i="12"/>
  <c r="AX265" i="12"/>
  <c r="AX119" i="12"/>
  <c r="AX252" i="12"/>
  <c r="AX182" i="12"/>
  <c r="AX147" i="12"/>
  <c r="AX283" i="12"/>
  <c r="AX120" i="12"/>
  <c r="AX121" i="12"/>
  <c r="AX216" i="12"/>
  <c r="AX103" i="12"/>
  <c r="AX183" i="12"/>
  <c r="AX266" i="12"/>
  <c r="AX83" i="12"/>
  <c r="AX284" i="12"/>
  <c r="AX285" i="12"/>
  <c r="AX184" i="12"/>
  <c r="AX300" i="12"/>
  <c r="H20" i="16" l="1"/>
  <c r="Z8" i="16"/>
  <c r="X45" i="19" l="1"/>
  <c r="C45" i="19" s="1"/>
  <c r="X43" i="19"/>
  <c r="AP42" i="19"/>
  <c r="F42" i="19" s="1"/>
  <c r="X42" i="19"/>
  <c r="C42" i="19" s="1"/>
  <c r="AP40" i="19"/>
  <c r="F40" i="19" s="1"/>
  <c r="AP39" i="19"/>
  <c r="F39" i="19" s="1"/>
  <c r="F50" i="19" s="1"/>
  <c r="X39" i="19"/>
  <c r="C39" i="19" s="1"/>
  <c r="D39" i="19"/>
  <c r="E50" i="19" s="1"/>
  <c r="AP38" i="19"/>
  <c r="F38" i="19" s="1"/>
  <c r="X38" i="19"/>
  <c r="C38" i="19" s="1"/>
  <c r="D38" i="19"/>
  <c r="AP37" i="19"/>
  <c r="F37" i="19" s="1"/>
  <c r="X37" i="19"/>
  <c r="C37" i="19"/>
  <c r="AP36" i="19"/>
  <c r="F36" i="19" s="1"/>
  <c r="F49" i="19" s="1"/>
  <c r="X36" i="19"/>
  <c r="C36" i="19" s="1"/>
  <c r="D36" i="19"/>
  <c r="E49" i="19" s="1"/>
  <c r="X35" i="19"/>
  <c r="C35" i="19" s="1"/>
  <c r="D48" i="19" s="1"/>
  <c r="AP34" i="19"/>
  <c r="F34" i="19" s="1"/>
  <c r="X34" i="19"/>
  <c r="C34" i="19" s="1"/>
  <c r="E34" i="19" s="1"/>
  <c r="D34" i="19"/>
  <c r="AP33" i="19"/>
  <c r="F33" i="19" s="1"/>
  <c r="X33" i="19"/>
  <c r="C33" i="19" s="1"/>
  <c r="AP32" i="19"/>
  <c r="F32" i="19" s="1"/>
  <c r="X32" i="19"/>
  <c r="C32" i="19" s="1"/>
  <c r="AP31" i="19"/>
  <c r="F31" i="19" s="1"/>
  <c r="X31" i="19"/>
  <c r="C31" i="19" s="1"/>
  <c r="D31" i="19"/>
  <c r="AP30" i="19"/>
  <c r="F30" i="19" s="1"/>
  <c r="X30" i="19"/>
  <c r="C30" i="19"/>
  <c r="AP29" i="19"/>
  <c r="F29" i="19" s="1"/>
  <c r="X29" i="19"/>
  <c r="C29" i="19" s="1"/>
  <c r="AP28" i="19"/>
  <c r="F28" i="19" s="1"/>
  <c r="X28" i="19"/>
  <c r="C28" i="19" s="1"/>
  <c r="E28" i="19" s="1"/>
  <c r="D28" i="19"/>
  <c r="AP27" i="19"/>
  <c r="F27" i="19" s="1"/>
  <c r="X27" i="19"/>
  <c r="C27" i="19" s="1"/>
  <c r="AP26" i="19"/>
  <c r="X26" i="19"/>
  <c r="C26" i="19" s="1"/>
  <c r="E26" i="19" s="1"/>
  <c r="D26" i="19"/>
  <c r="AP25" i="19"/>
  <c r="X25" i="19"/>
  <c r="C25" i="19" s="1"/>
  <c r="AP24" i="19"/>
  <c r="F24" i="19" s="1"/>
  <c r="X24" i="19"/>
  <c r="C24" i="19" s="1"/>
  <c r="D24" i="19"/>
  <c r="AP23" i="19"/>
  <c r="F23" i="19" s="1"/>
  <c r="X23" i="19"/>
  <c r="C23" i="19" s="1"/>
  <c r="AP22" i="19"/>
  <c r="F22" i="19" s="1"/>
  <c r="X22" i="19"/>
  <c r="C22" i="19" s="1"/>
  <c r="AP21" i="19"/>
  <c r="F21" i="19" s="1"/>
  <c r="X21" i="19"/>
  <c r="C21" i="19" s="1"/>
  <c r="D21" i="19"/>
  <c r="AP20" i="19"/>
  <c r="F20" i="19" s="1"/>
  <c r="X19" i="19"/>
  <c r="C19" i="19" s="1"/>
  <c r="AP18" i="19"/>
  <c r="F18" i="19" s="1"/>
  <c r="X18" i="19"/>
  <c r="C18" i="19" s="1"/>
  <c r="D18" i="19"/>
  <c r="AP17" i="19"/>
  <c r="F17" i="19" s="1"/>
  <c r="X17" i="19"/>
  <c r="C17" i="19" s="1"/>
  <c r="AP16" i="19"/>
  <c r="F16" i="19" s="1"/>
  <c r="X16" i="19"/>
  <c r="C16" i="19" s="1"/>
  <c r="AP15" i="19"/>
  <c r="F15" i="19" s="1"/>
  <c r="X15" i="19"/>
  <c r="C15" i="19" s="1"/>
  <c r="D15" i="19"/>
  <c r="AP14" i="19"/>
  <c r="F14" i="19" s="1"/>
  <c r="X13" i="19"/>
  <c r="C13" i="19" s="1"/>
  <c r="AP12" i="19"/>
  <c r="F12" i="19" s="1"/>
  <c r="X12" i="19"/>
  <c r="C12" i="19" s="1"/>
  <c r="D12" i="19"/>
  <c r="AP11" i="19"/>
  <c r="F11" i="19" s="1"/>
  <c r="X10" i="19"/>
  <c r="C10" i="19" s="1"/>
  <c r="AP9" i="19"/>
  <c r="F9" i="19" s="1"/>
  <c r="X9" i="19"/>
  <c r="C9" i="19" s="1"/>
  <c r="D9" i="19"/>
  <c r="AP8" i="19"/>
  <c r="F8" i="19" s="1"/>
  <c r="X7" i="19"/>
  <c r="C7" i="19" s="1"/>
  <c r="AP6" i="19"/>
  <c r="F6" i="19" s="1"/>
  <c r="X6" i="19"/>
  <c r="C6" i="19" s="1"/>
  <c r="D6" i="19"/>
  <c r="AP5" i="19"/>
  <c r="F5" i="19" s="1"/>
  <c r="X4" i="19"/>
  <c r="C4" i="19" s="1"/>
  <c r="AP3" i="19"/>
  <c r="F3" i="19" s="1"/>
  <c r="X3" i="19"/>
  <c r="C3" i="19" s="1"/>
  <c r="D3" i="19"/>
  <c r="E24" i="19" l="1"/>
  <c r="E21" i="19"/>
  <c r="E31" i="19"/>
  <c r="E38" i="19"/>
  <c r="E39" i="19"/>
  <c r="D50" i="19"/>
  <c r="C50" i="19" s="1"/>
  <c r="D45" i="19"/>
  <c r="E45" i="19" s="1"/>
  <c r="D42" i="19"/>
  <c r="E42" i="19" s="1"/>
  <c r="D40" i="19"/>
  <c r="D35" i="19"/>
  <c r="E48" i="19" s="1"/>
  <c r="C48" i="19" s="1"/>
  <c r="D32" i="19"/>
  <c r="E32" i="19" s="1"/>
  <c r="D29" i="19"/>
  <c r="E29" i="19" s="1"/>
  <c r="D25" i="19"/>
  <c r="E25" i="19" s="1"/>
  <c r="D22" i="19"/>
  <c r="E22" i="19" s="1"/>
  <c r="D19" i="19"/>
  <c r="E19" i="19" s="1"/>
  <c r="D16" i="19"/>
  <c r="E16" i="19" s="1"/>
  <c r="D13" i="19"/>
  <c r="E13" i="19" s="1"/>
  <c r="D10" i="19"/>
  <c r="E10" i="19" s="1"/>
  <c r="D7" i="19"/>
  <c r="E7" i="19" s="1"/>
  <c r="D4" i="19"/>
  <c r="E4" i="19" s="1"/>
  <c r="D37" i="19"/>
  <c r="E37" i="19" s="1"/>
  <c r="D33" i="19"/>
  <c r="E33" i="19" s="1"/>
  <c r="D30" i="19"/>
  <c r="E30" i="19" s="1"/>
  <c r="D27" i="19"/>
  <c r="E27" i="19" s="1"/>
  <c r="D23" i="19"/>
  <c r="E23" i="19" s="1"/>
  <c r="D20" i="19"/>
  <c r="D17" i="19"/>
  <c r="E17" i="19" s="1"/>
  <c r="D14" i="19"/>
  <c r="D11" i="19"/>
  <c r="D8" i="19"/>
  <c r="D5" i="19"/>
  <c r="E3" i="19"/>
  <c r="AP4" i="19"/>
  <c r="F4" i="19" s="1"/>
  <c r="X5" i="19"/>
  <c r="C5" i="19" s="1"/>
  <c r="E6" i="19"/>
  <c r="AP7" i="19"/>
  <c r="F7" i="19" s="1"/>
  <c r="X8" i="19"/>
  <c r="C8" i="19" s="1"/>
  <c r="E8" i="19" s="1"/>
  <c r="E9" i="19"/>
  <c r="AP10" i="19"/>
  <c r="F10" i="19" s="1"/>
  <c r="X11" i="19"/>
  <c r="C11" i="19" s="1"/>
  <c r="E11" i="19" s="1"/>
  <c r="E12" i="19"/>
  <c r="AP13" i="19"/>
  <c r="F13" i="19" s="1"/>
  <c r="X14" i="19"/>
  <c r="C14" i="19" s="1"/>
  <c r="E15" i="19"/>
  <c r="E18" i="19"/>
  <c r="AP19" i="19"/>
  <c r="F19" i="19" s="1"/>
  <c r="X20" i="19"/>
  <c r="C20" i="19" s="1"/>
  <c r="E20" i="19" s="1"/>
  <c r="E35" i="19"/>
  <c r="AP35" i="19"/>
  <c r="F35" i="19" s="1"/>
  <c r="F48" i="19" s="1"/>
  <c r="D49" i="19"/>
  <c r="C49" i="19" s="1"/>
  <c r="E36" i="19"/>
  <c r="X40" i="19"/>
  <c r="C40" i="19" s="1"/>
  <c r="E40" i="19" s="1"/>
  <c r="E14" i="19" l="1"/>
  <c r="E5" i="19"/>
  <c r="H54" i="16" l="1"/>
  <c r="H33" i="16"/>
  <c r="Z6" i="16"/>
  <c r="Z18" i="16"/>
  <c r="DB8" i="22" s="1"/>
  <c r="Z15" i="16"/>
  <c r="Z21" i="16"/>
  <c r="H42" i="16" l="1"/>
  <c r="H22" i="16"/>
  <c r="Z5" i="16"/>
  <c r="Z16" i="16"/>
  <c r="H53" i="16" l="1"/>
  <c r="Z4" i="16"/>
  <c r="DK27" i="22" s="1"/>
  <c r="H27" i="16" l="1"/>
  <c r="Z7" i="16"/>
  <c r="H26" i="16" l="1"/>
  <c r="Z20" i="16"/>
  <c r="Z19" i="16"/>
  <c r="H4" i="16"/>
  <c r="H36" i="16" l="1"/>
  <c r="Z9" i="16"/>
  <c r="O48" i="1"/>
  <c r="D48" i="1" s="1"/>
  <c r="BY4" i="22" s="1"/>
  <c r="G48" i="1"/>
  <c r="CA2" i="22" s="1"/>
  <c r="H48" i="1"/>
  <c r="CA3" i="22" s="1"/>
  <c r="H47" i="16"/>
  <c r="H38" i="16"/>
  <c r="Z17" i="16"/>
  <c r="Z11" i="16"/>
  <c r="C61" i="16"/>
  <c r="Z14" i="16"/>
  <c r="FD8" i="22" s="1"/>
  <c r="AU37" i="12" l="1"/>
  <c r="C47" i="16"/>
  <c r="N48" i="1"/>
  <c r="AX45" i="12"/>
  <c r="AX46" i="12"/>
  <c r="AX57" i="12"/>
  <c r="AX18" i="12"/>
  <c r="AX185" i="12"/>
  <c r="AX19" i="12"/>
  <c r="AX7" i="12"/>
  <c r="AX227" i="12"/>
  <c r="AX58" i="12"/>
  <c r="AX162" i="12"/>
  <c r="AX163" i="12"/>
  <c r="AX269" i="12"/>
  <c r="AX59" i="12"/>
  <c r="AX164" i="12"/>
  <c r="AX9" i="12"/>
  <c r="AX38" i="12"/>
  <c r="AX69" i="12"/>
  <c r="AX25" i="12"/>
  <c r="AX186" i="12"/>
  <c r="AX105" i="12"/>
  <c r="AX165" i="12"/>
  <c r="AX60" i="12"/>
  <c r="AX123" i="12"/>
  <c r="AX39" i="12"/>
  <c r="AX166" i="12"/>
  <c r="AX228" i="12"/>
  <c r="AX201" i="12"/>
  <c r="AX257" i="12"/>
  <c r="AX295" i="12"/>
  <c r="AX202" i="12"/>
  <c r="AX167" i="12"/>
  <c r="AX47" i="12"/>
  <c r="AX258" i="12"/>
  <c r="AX275" i="12"/>
  <c r="AX308" i="12"/>
  <c r="AX203" i="12"/>
  <c r="AX40" i="12"/>
  <c r="AX217" i="12"/>
  <c r="AX20" i="12"/>
  <c r="AX168" i="12"/>
  <c r="AX204" i="12"/>
  <c r="AX106" i="12"/>
  <c r="AX243" i="12"/>
  <c r="AX107" i="12"/>
  <c r="AX259" i="12"/>
  <c r="AX26" i="12"/>
  <c r="AX70" i="12"/>
  <c r="AX244" i="12"/>
  <c r="AX124" i="12"/>
  <c r="AX86" i="12"/>
  <c r="AX21" i="12"/>
  <c r="AX87" i="12"/>
  <c r="AX229" i="12"/>
  <c r="AX276" i="12"/>
  <c r="AX125" i="12"/>
  <c r="AX205" i="12"/>
  <c r="AX71" i="12"/>
  <c r="AX187" i="12"/>
  <c r="AX88" i="12"/>
  <c r="AX188" i="12"/>
  <c r="AX245" i="12"/>
  <c r="AX270" i="12"/>
  <c r="AX246" i="12"/>
  <c r="AX27" i="12"/>
  <c r="AX218" i="12"/>
  <c r="AX89" i="12"/>
  <c r="AX108" i="12"/>
  <c r="AX271" i="12"/>
  <c r="AX304" i="12"/>
  <c r="AX126" i="12"/>
  <c r="AX169" i="12"/>
  <c r="AX189" i="12"/>
  <c r="AX41" i="12"/>
  <c r="AX170" i="12"/>
  <c r="AX16" i="12"/>
  <c r="AX230" i="12"/>
  <c r="AX90" i="12"/>
  <c r="AX72" i="12"/>
  <c r="AX127" i="12"/>
  <c r="AX206" i="12"/>
  <c r="AX13" i="12"/>
  <c r="AX91" i="12"/>
  <c r="AX171" i="12"/>
  <c r="AX109" i="12"/>
  <c r="AX110" i="12"/>
  <c r="AX128" i="12"/>
  <c r="AX207" i="12"/>
  <c r="AX111" i="12"/>
  <c r="AX247" i="12"/>
  <c r="AX277" i="12"/>
  <c r="AX219" i="12"/>
  <c r="AX149" i="12"/>
  <c r="AX92" i="12"/>
  <c r="AX278" i="12"/>
  <c r="AX248" i="12"/>
  <c r="AX260" i="12"/>
  <c r="AX301" i="12"/>
  <c r="AX98" i="12"/>
  <c r="AX156" i="12"/>
  <c r="AX65" i="12"/>
  <c r="AX157" i="12"/>
  <c r="AX158" i="12"/>
  <c r="AX129" i="12"/>
  <c r="AX22" i="12"/>
  <c r="AX130" i="12"/>
  <c r="AX159" i="12"/>
  <c r="AX160" i="12"/>
  <c r="AX225" i="12"/>
  <c r="AX254" i="12"/>
  <c r="AX66" i="12"/>
  <c r="AX226" i="12"/>
  <c r="AX14" i="12"/>
  <c r="AX197" i="12"/>
  <c r="AX161" i="12"/>
  <c r="AX198" i="12"/>
  <c r="AX131" i="12"/>
  <c r="AX199" i="12"/>
  <c r="AX293" i="12"/>
  <c r="AX200" i="12"/>
  <c r="AX255" i="12"/>
  <c r="AX4" i="12"/>
  <c r="AX6" i="12"/>
  <c r="AX17" i="12"/>
  <c r="AX23" i="12"/>
  <c r="AX73" i="12"/>
  <c r="AX74" i="12"/>
  <c r="AX132" i="12"/>
  <c r="AX75" i="12"/>
  <c r="AX133" i="12"/>
  <c r="AX15" i="12"/>
  <c r="AX29" i="12"/>
  <c r="AX76" i="12"/>
  <c r="AX114" i="12"/>
  <c r="AX115" i="12"/>
  <c r="AX11" i="12"/>
  <c r="AX99" i="12"/>
  <c r="AX42" i="12"/>
  <c r="AX134" i="12"/>
  <c r="AX77" i="12"/>
  <c r="AX148" i="12"/>
  <c r="AX24" i="12"/>
  <c r="AX242" i="12"/>
  <c r="AX256" i="12"/>
  <c r="AX135" i="12"/>
  <c r="AX261" i="12"/>
  <c r="AX231" i="12"/>
  <c r="AX190" i="12"/>
  <c r="AX172" i="12"/>
  <c r="AX61" i="12"/>
  <c r="AX62" i="12"/>
  <c r="AX191" i="12"/>
  <c r="AX173" i="12"/>
  <c r="AX192" i="12"/>
  <c r="AX286" i="12"/>
  <c r="AX296" i="12"/>
  <c r="AX136" i="12"/>
  <c r="AX249" i="12"/>
  <c r="AX294" i="12"/>
  <c r="AX48" i="12"/>
  <c r="AX63" i="12"/>
  <c r="AX250" i="12"/>
  <c r="AX232" i="12"/>
  <c r="AX112" i="12"/>
  <c r="AX279" i="12"/>
  <c r="AX297" i="12"/>
  <c r="AX303" i="12"/>
  <c r="AX302" i="12"/>
  <c r="AX233" i="12"/>
  <c r="AX93" i="12"/>
  <c r="AX174" i="12"/>
  <c r="AX49" i="12"/>
  <c r="AX262" i="12"/>
  <c r="AX28" i="12"/>
  <c r="AX94" i="12"/>
  <c r="AX137" i="12"/>
  <c r="AX175" i="12"/>
  <c r="AX64" i="12"/>
  <c r="AX193" i="12"/>
  <c r="AX208" i="12"/>
  <c r="AX234" i="12"/>
  <c r="AX95" i="12"/>
  <c r="AX138" i="12"/>
  <c r="AX194" i="12"/>
  <c r="AX96" i="12"/>
  <c r="AX113" i="12"/>
  <c r="AX150" i="12"/>
  <c r="AX176" i="12"/>
  <c r="AX97" i="12"/>
  <c r="AX209" i="12"/>
  <c r="AX290" i="12"/>
  <c r="AX280" i="12"/>
  <c r="AX235" i="12"/>
  <c r="AX281" i="12"/>
  <c r="AX291" i="12"/>
  <c r="AX310" i="12"/>
  <c r="AX151" i="12"/>
  <c r="AX272" i="12"/>
  <c r="AX298" i="12"/>
  <c r="AX139" i="12"/>
  <c r="AX35" i="12"/>
  <c r="AX36" i="12"/>
  <c r="AX177" i="12"/>
  <c r="AX267" i="12"/>
  <c r="AX10" i="12"/>
  <c r="AX178" i="12"/>
  <c r="AX152" i="12"/>
  <c r="AX140" i="12"/>
  <c r="AX221" i="12"/>
  <c r="AX292" i="12"/>
  <c r="AX287" i="12"/>
  <c r="AX299" i="12"/>
  <c r="AX307" i="12"/>
  <c r="AX37" i="12"/>
  <c r="AX179" i="12"/>
  <c r="AX55" i="12"/>
  <c r="AX195" i="12"/>
  <c r="AX84" i="12"/>
  <c r="AX210" i="12"/>
  <c r="AX180" i="12"/>
  <c r="AX56" i="12"/>
  <c r="AX85" i="12"/>
  <c r="AX241" i="12"/>
  <c r="AX104" i="12"/>
  <c r="AX141" i="12"/>
  <c r="AX222" i="12"/>
  <c r="AX211" i="12"/>
  <c r="AX196" i="12"/>
  <c r="AX253" i="12"/>
  <c r="AX268" i="12"/>
  <c r="AX273" i="12"/>
  <c r="AX274" i="12"/>
  <c r="AX288" i="12"/>
  <c r="AX305" i="12"/>
  <c r="AX306" i="12"/>
  <c r="AX309" i="12"/>
  <c r="AX12" i="12"/>
  <c r="C48" i="1" l="1"/>
  <c r="F48" i="1"/>
  <c r="Z22" i="16"/>
  <c r="H17" i="16"/>
  <c r="Z23" i="16"/>
  <c r="H52" i="16"/>
  <c r="Z12" i="16"/>
  <c r="E48" i="1" l="1"/>
  <c r="H43" i="12" s="1"/>
  <c r="BW4" i="22"/>
  <c r="BV4" i="22" s="1"/>
  <c r="D45" i="12"/>
  <c r="N29" i="1"/>
  <c r="O29" i="1"/>
  <c r="H39" i="16" l="1"/>
  <c r="Z10" i="16"/>
  <c r="Z13" i="16"/>
  <c r="DK8" i="22" s="1"/>
  <c r="H56" i="16"/>
  <c r="AU29" i="12"/>
  <c r="AU35" i="12"/>
  <c r="AU70" i="12"/>
  <c r="AU69" i="12"/>
  <c r="H2" i="16" l="1"/>
  <c r="AN4" i="18"/>
  <c r="F4" i="18" s="1"/>
  <c r="AN5" i="18"/>
  <c r="F5" i="18" s="1"/>
  <c r="AN7" i="18"/>
  <c r="F7" i="18" s="1"/>
  <c r="AN8" i="18"/>
  <c r="F8" i="18" s="1"/>
  <c r="AN10" i="18"/>
  <c r="F10" i="18" s="1"/>
  <c r="AN11" i="18"/>
  <c r="F11" i="18" s="1"/>
  <c r="AN15" i="18"/>
  <c r="F15" i="18" s="1"/>
  <c r="AN16" i="18"/>
  <c r="F16" i="18" s="1"/>
  <c r="AN18" i="18"/>
  <c r="F18" i="18" s="1"/>
  <c r="AN21" i="18"/>
  <c r="F21" i="18" s="1"/>
  <c r="AN26" i="18"/>
  <c r="F26" i="18" s="1"/>
  <c r="AN28" i="18"/>
  <c r="F28" i="18" s="1"/>
  <c r="AN29" i="18"/>
  <c r="F29" i="18" s="1"/>
  <c r="AN31" i="18"/>
  <c r="F31" i="18" s="1"/>
  <c r="AN32" i="18"/>
  <c r="F32" i="18" s="1"/>
  <c r="AN34" i="18"/>
  <c r="F34" i="18" s="1"/>
  <c r="AN35" i="18"/>
  <c r="F35" i="18" s="1"/>
  <c r="AN36" i="18"/>
  <c r="F36" i="18" s="1"/>
  <c r="AN37" i="18"/>
  <c r="F37" i="18" s="1"/>
  <c r="F43" i="18" s="1"/>
  <c r="AN40" i="18"/>
  <c r="F40" i="18" s="1"/>
  <c r="W14" i="18"/>
  <c r="C14" i="18" s="1"/>
  <c r="W15" i="18"/>
  <c r="C15" i="18" s="1"/>
  <c r="W16" i="18"/>
  <c r="C16" i="18" s="1"/>
  <c r="W19" i="18"/>
  <c r="C19" i="18" s="1"/>
  <c r="W20" i="18"/>
  <c r="C20" i="18" s="1"/>
  <c r="W22" i="18"/>
  <c r="C22" i="18" s="1"/>
  <c r="W23" i="18"/>
  <c r="C23" i="18" s="1"/>
  <c r="W24" i="18"/>
  <c r="C24" i="18" s="1"/>
  <c r="W25" i="18"/>
  <c r="C25" i="18" s="1"/>
  <c r="W29" i="18"/>
  <c r="C29" i="18" s="1"/>
  <c r="W30" i="18"/>
  <c r="C30" i="18" s="1"/>
  <c r="W31" i="18"/>
  <c r="C31" i="18" s="1"/>
  <c r="W32" i="18"/>
  <c r="C32" i="18" s="1"/>
  <c r="W34" i="18"/>
  <c r="C34" i="18" s="1"/>
  <c r="W35" i="18"/>
  <c r="C35" i="18" s="1"/>
  <c r="W38" i="18"/>
  <c r="C38" i="18" s="1"/>
  <c r="W40" i="18"/>
  <c r="C40" i="18" s="1"/>
  <c r="W18" i="18"/>
  <c r="C18" i="18" s="1"/>
  <c r="W21" i="18"/>
  <c r="C21" i="18" s="1"/>
  <c r="W28" i="18"/>
  <c r="C28" i="18" s="1"/>
  <c r="W33" i="18"/>
  <c r="C33" i="18" s="1"/>
  <c r="W37" i="18"/>
  <c r="C37" i="18" s="1"/>
  <c r="W45" i="18"/>
  <c r="C45" i="18" s="1"/>
  <c r="AN45" i="18"/>
  <c r="W41" i="18"/>
  <c r="D45" i="18" s="1"/>
  <c r="AN38" i="18"/>
  <c r="F38" i="18" s="1"/>
  <c r="W36" i="18"/>
  <c r="C36" i="18" s="1"/>
  <c r="AN33" i="18"/>
  <c r="F33" i="18" s="1"/>
  <c r="AN30" i="18"/>
  <c r="F30" i="18" s="1"/>
  <c r="AN27" i="18"/>
  <c r="F27" i="18" s="1"/>
  <c r="W27" i="18"/>
  <c r="C27" i="18" s="1"/>
  <c r="AN24" i="18"/>
  <c r="F24" i="18" s="1"/>
  <c r="W17" i="18"/>
  <c r="C17" i="18" s="1"/>
  <c r="AN12" i="18"/>
  <c r="F12" i="18" s="1"/>
  <c r="AN9" i="18"/>
  <c r="F9" i="18" s="1"/>
  <c r="AN6" i="18"/>
  <c r="F6" i="18" s="1"/>
  <c r="AN3" i="18"/>
  <c r="F3" i="18" s="1"/>
  <c r="D11" i="18" l="1"/>
  <c r="D20" i="18"/>
  <c r="E20" i="18" s="1"/>
  <c r="D34" i="18"/>
  <c r="E34" i="18" s="1"/>
  <c r="D5" i="18"/>
  <c r="D14" i="18"/>
  <c r="E14" i="18" s="1"/>
  <c r="D23" i="18"/>
  <c r="E23" i="18" s="1"/>
  <c r="D28" i="18"/>
  <c r="D37" i="18"/>
  <c r="E43" i="18" s="1"/>
  <c r="D38" i="18"/>
  <c r="E38" i="18" s="1"/>
  <c r="D8" i="18"/>
  <c r="D17" i="18"/>
  <c r="E17" i="18" s="1"/>
  <c r="D26" i="18"/>
  <c r="D31" i="18"/>
  <c r="D3" i="18"/>
  <c r="D6" i="18"/>
  <c r="D9" i="18"/>
  <c r="D12" i="18"/>
  <c r="D16" i="18"/>
  <c r="E16" i="18" s="1"/>
  <c r="D19" i="18"/>
  <c r="D22" i="18"/>
  <c r="E22" i="18" s="1"/>
  <c r="D25" i="18"/>
  <c r="D27" i="18"/>
  <c r="E27" i="18" s="1"/>
  <c r="E28" i="18"/>
  <c r="D30" i="18"/>
  <c r="E30" i="18" s="1"/>
  <c r="E31" i="18"/>
  <c r="D33" i="18"/>
  <c r="E33" i="18" s="1"/>
  <c r="D36" i="18"/>
  <c r="E36" i="18" s="1"/>
  <c r="D40" i="18"/>
  <c r="E40" i="18" s="1"/>
  <c r="E45" i="18"/>
  <c r="D4" i="18"/>
  <c r="D7" i="18"/>
  <c r="D10" i="18"/>
  <c r="D13" i="18"/>
  <c r="D15" i="18"/>
  <c r="E15" i="18" s="1"/>
  <c r="D18" i="18"/>
  <c r="E18" i="18" s="1"/>
  <c r="E19" i="18"/>
  <c r="D21" i="18"/>
  <c r="E21" i="18" s="1"/>
  <c r="D24" i="18"/>
  <c r="E24" i="18" s="1"/>
  <c r="E25" i="18"/>
  <c r="D29" i="18"/>
  <c r="E29" i="18" s="1"/>
  <c r="D32" i="18"/>
  <c r="E32" i="18" s="1"/>
  <c r="D35" i="18"/>
  <c r="E35" i="18" s="1"/>
  <c r="W26" i="18"/>
  <c r="C26" i="18" s="1"/>
  <c r="W3" i="18"/>
  <c r="C3" i="18" s="1"/>
  <c r="W4" i="18"/>
  <c r="C4" i="18" s="1"/>
  <c r="W5" i="18"/>
  <c r="C5" i="18" s="1"/>
  <c r="E5" i="18" s="1"/>
  <c r="W6" i="18"/>
  <c r="C6" i="18" s="1"/>
  <c r="W7" i="18"/>
  <c r="C7" i="18" s="1"/>
  <c r="W8" i="18"/>
  <c r="C8" i="18" s="1"/>
  <c r="E8" i="18" s="1"/>
  <c r="W9" i="18"/>
  <c r="C9" i="18" s="1"/>
  <c r="W10" i="18"/>
  <c r="C10" i="18" s="1"/>
  <c r="W11" i="18"/>
  <c r="C11" i="18" s="1"/>
  <c r="E11" i="18" s="1"/>
  <c r="W12" i="18"/>
  <c r="C12" i="18" s="1"/>
  <c r="W13" i="18"/>
  <c r="C13" i="18" s="1"/>
  <c r="AN13" i="18"/>
  <c r="AN14" i="18"/>
  <c r="AN17" i="18"/>
  <c r="F17" i="18" s="1"/>
  <c r="AN20" i="18"/>
  <c r="F20" i="18" s="1"/>
  <c r="AN23" i="18"/>
  <c r="F23" i="18" s="1"/>
  <c r="AN19" i="18"/>
  <c r="F19" i="18" s="1"/>
  <c r="AN22" i="18"/>
  <c r="F22" i="18" s="1"/>
  <c r="AN25" i="18"/>
  <c r="F25" i="18" s="1"/>
  <c r="D43" i="18"/>
  <c r="N74" i="1"/>
  <c r="O74" i="1"/>
  <c r="D74" i="1" s="1"/>
  <c r="HV4" i="22" s="1"/>
  <c r="G74" i="1"/>
  <c r="HX2" i="22" s="1"/>
  <c r="H74" i="1"/>
  <c r="HX3" i="22" s="1"/>
  <c r="G68" i="1"/>
  <c r="H68" i="1"/>
  <c r="N68" i="1"/>
  <c r="O68" i="1"/>
  <c r="D68" i="1" s="1"/>
  <c r="G32" i="1"/>
  <c r="Y2" i="22" s="1"/>
  <c r="H32" i="1"/>
  <c r="Y3" i="22" s="1"/>
  <c r="N32" i="1"/>
  <c r="O32" i="1"/>
  <c r="D32" i="1" s="1"/>
  <c r="W4" i="22" s="1"/>
  <c r="H7" i="1"/>
  <c r="G7" i="1"/>
  <c r="H6" i="1"/>
  <c r="G6" i="1"/>
  <c r="N7" i="1"/>
  <c r="O7" i="1"/>
  <c r="D7" i="1" s="1"/>
  <c r="N8" i="1"/>
  <c r="O8" i="1"/>
  <c r="N12" i="1"/>
  <c r="O12" i="1"/>
  <c r="N15" i="1"/>
  <c r="O15" i="1"/>
  <c r="N16" i="1"/>
  <c r="O16" i="1"/>
  <c r="N18" i="1"/>
  <c r="O18" i="1"/>
  <c r="N19" i="1"/>
  <c r="O19" i="1"/>
  <c r="N21" i="1"/>
  <c r="O21" i="1"/>
  <c r="N23" i="1"/>
  <c r="O23" i="1"/>
  <c r="N24" i="1"/>
  <c r="O24" i="1"/>
  <c r="N25" i="1"/>
  <c r="O25" i="1"/>
  <c r="N26" i="1"/>
  <c r="O26" i="1"/>
  <c r="N27" i="1"/>
  <c r="O27" i="1"/>
  <c r="N28" i="1"/>
  <c r="O28" i="1"/>
  <c r="N34" i="1"/>
  <c r="O34" i="1"/>
  <c r="N37" i="1"/>
  <c r="O37" i="1"/>
  <c r="N39" i="1"/>
  <c r="O39" i="1"/>
  <c r="N40" i="1"/>
  <c r="O40" i="1"/>
  <c r="N42" i="1"/>
  <c r="O42" i="1"/>
  <c r="N43" i="1"/>
  <c r="O43" i="1"/>
  <c r="N50" i="1"/>
  <c r="O50" i="1"/>
  <c r="N53" i="1"/>
  <c r="O53" i="1"/>
  <c r="N54" i="1"/>
  <c r="O54" i="1"/>
  <c r="N55" i="1"/>
  <c r="O55" i="1"/>
  <c r="N57" i="1"/>
  <c r="O57" i="1"/>
  <c r="N59" i="1"/>
  <c r="O59" i="1"/>
  <c r="N61" i="1"/>
  <c r="O61" i="1"/>
  <c r="N62" i="1"/>
  <c r="O62" i="1"/>
  <c r="N63" i="1"/>
  <c r="O63" i="1"/>
  <c r="N66" i="1"/>
  <c r="O66" i="1"/>
  <c r="N67" i="1"/>
  <c r="O67" i="1"/>
  <c r="N73" i="1"/>
  <c r="O73" i="1"/>
  <c r="N77" i="1"/>
  <c r="O77" i="1"/>
  <c r="O5" i="1"/>
  <c r="N5" i="1"/>
  <c r="F32" i="1" l="1"/>
  <c r="C32" i="1"/>
  <c r="F74" i="1"/>
  <c r="C74" i="1"/>
  <c r="C7" i="1"/>
  <c r="F7" i="1"/>
  <c r="C68" i="1"/>
  <c r="E68" i="1" s="1"/>
  <c r="H70" i="12" s="1"/>
  <c r="F68" i="1"/>
  <c r="E7" i="1"/>
  <c r="E9" i="18"/>
  <c r="E37" i="18"/>
  <c r="E26" i="18"/>
  <c r="C43" i="18"/>
  <c r="E6" i="18"/>
  <c r="E12" i="18"/>
  <c r="E3" i="18"/>
  <c r="E7" i="18"/>
  <c r="E13" i="18"/>
  <c r="E10" i="18"/>
  <c r="E4" i="18"/>
  <c r="D68" i="12"/>
  <c r="E32" i="1" l="1"/>
  <c r="H74" i="12" s="1"/>
  <c r="U4" i="22"/>
  <c r="T4" i="22" s="1"/>
  <c r="E74" i="1"/>
  <c r="H8" i="12" s="1"/>
  <c r="HT4" i="22"/>
  <c r="HS4" i="22" s="1"/>
  <c r="D71" i="12"/>
  <c r="D43" i="12"/>
  <c r="D60" i="12"/>
  <c r="H66" i="12"/>
  <c r="I56" i="16" l="1"/>
  <c r="AC12" i="16"/>
  <c r="DK9" i="22" s="1"/>
  <c r="AC22" i="16"/>
  <c r="AC20" i="16"/>
  <c r="I4" i="16"/>
  <c r="I17" i="16"/>
  <c r="I28" i="16"/>
  <c r="AC21" i="16"/>
  <c r="AC7" i="16"/>
  <c r="AC6" i="16"/>
  <c r="AC5" i="16"/>
  <c r="I39" i="16"/>
  <c r="I15" i="16"/>
  <c r="I41" i="16"/>
  <c r="AC18" i="16"/>
  <c r="AC4" i="16"/>
  <c r="C56" i="16" l="1"/>
  <c r="AU31" i="12" s="1"/>
  <c r="AC17" i="16"/>
  <c r="I38" i="16"/>
  <c r="I20" i="16"/>
  <c r="AC14" i="16"/>
  <c r="I42" i="16" l="1"/>
  <c r="C42" i="16" s="1"/>
  <c r="AC10" i="16"/>
  <c r="AC13" i="16"/>
  <c r="I27" i="16"/>
  <c r="C27" i="16" s="1"/>
  <c r="AC9" i="16" l="1"/>
  <c r="AC19" i="16"/>
  <c r="AC16" i="16"/>
  <c r="AC15" i="16"/>
  <c r="AC8" i="16"/>
  <c r="I52" i="16"/>
  <c r="I29" i="16"/>
  <c r="I26" i="16"/>
  <c r="I18" i="16"/>
  <c r="I36" i="16"/>
  <c r="Q57" i="1" l="1"/>
  <c r="D57" i="1" s="1"/>
  <c r="DI4" i="22" s="1"/>
  <c r="P57" i="1"/>
  <c r="G57" i="1"/>
  <c r="DK2" i="22" s="1"/>
  <c r="H57" i="1"/>
  <c r="DK3" i="22" s="1"/>
  <c r="F57" i="1" l="1"/>
  <c r="C57" i="1"/>
  <c r="E57" i="1" l="1"/>
  <c r="DG4" i="22"/>
  <c r="DF4" i="22" s="1"/>
  <c r="D41" i="12"/>
  <c r="H10" i="12"/>
  <c r="AU33" i="12"/>
  <c r="AU27" i="12"/>
  <c r="AU53" i="12"/>
  <c r="AU45" i="12"/>
  <c r="AU42" i="12"/>
  <c r="AU44" i="12"/>
  <c r="AU67" i="12"/>
  <c r="AU55" i="12"/>
  <c r="AU64" i="12"/>
  <c r="AU60" i="12"/>
  <c r="I53" i="16"/>
  <c r="I2" i="16" s="1"/>
  <c r="AC11" i="16"/>
  <c r="DK28" i="22" s="1"/>
  <c r="G8" i="1" l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3" i="1"/>
  <c r="H33" i="1"/>
  <c r="G34" i="1"/>
  <c r="H34" i="1"/>
  <c r="G36" i="1"/>
  <c r="H36" i="1"/>
  <c r="G37" i="1"/>
  <c r="AQ2" i="22" s="1"/>
  <c r="H37" i="1"/>
  <c r="AQ3" i="22" s="1"/>
  <c r="G38" i="1"/>
  <c r="H38" i="1"/>
  <c r="G39" i="1"/>
  <c r="AZ2" i="22" s="1"/>
  <c r="H39" i="1"/>
  <c r="AZ3" i="22" s="1"/>
  <c r="G40" i="1"/>
  <c r="BI2" i="22" s="1"/>
  <c r="H40" i="1"/>
  <c r="BI3" i="22" s="1"/>
  <c r="G41" i="1"/>
  <c r="H41" i="1"/>
  <c r="G42" i="1"/>
  <c r="BR2" i="22" s="1"/>
  <c r="H42" i="1"/>
  <c r="BR3" i="22" s="1"/>
  <c r="G43" i="1"/>
  <c r="H43" i="1"/>
  <c r="G44" i="1"/>
  <c r="H44" i="1"/>
  <c r="G45" i="1"/>
  <c r="H45" i="1"/>
  <c r="G46" i="1"/>
  <c r="H46" i="1"/>
  <c r="G47" i="1"/>
  <c r="H47" i="1"/>
  <c r="G49" i="1"/>
  <c r="H49" i="1"/>
  <c r="G50" i="1"/>
  <c r="H50" i="1"/>
  <c r="G51" i="1"/>
  <c r="H51" i="1"/>
  <c r="G52" i="1"/>
  <c r="H52" i="1"/>
  <c r="G53" i="1"/>
  <c r="CS2" i="22" s="1"/>
  <c r="H53" i="1"/>
  <c r="CS3" i="22" s="1"/>
  <c r="G54" i="1"/>
  <c r="DK22" i="22" s="1"/>
  <c r="H54" i="1"/>
  <c r="DK23" i="22" s="1"/>
  <c r="G55" i="1"/>
  <c r="DB2" i="22" s="1"/>
  <c r="H55" i="1"/>
  <c r="DB3" i="22" s="1"/>
  <c r="G56" i="1"/>
  <c r="DT22" i="22" s="1"/>
  <c r="H56" i="1"/>
  <c r="DT23" i="22" s="1"/>
  <c r="G59" i="1"/>
  <c r="EC2" i="22" s="1"/>
  <c r="H59" i="1"/>
  <c r="EC3" i="22" s="1"/>
  <c r="G60" i="1"/>
  <c r="EC22" i="22" s="1"/>
  <c r="H60" i="1"/>
  <c r="EC23" i="22" s="1"/>
  <c r="G61" i="1"/>
  <c r="EL2" i="22" s="1"/>
  <c r="H61" i="1"/>
  <c r="EL3" i="22" s="1"/>
  <c r="G62" i="1"/>
  <c r="H62" i="1"/>
  <c r="G63" i="1"/>
  <c r="FM2" i="22" s="1"/>
  <c r="H63" i="1"/>
  <c r="FM3" i="22" s="1"/>
  <c r="G66" i="1"/>
  <c r="FV2" i="22" s="1"/>
  <c r="H66" i="1"/>
  <c r="FV3" i="22" s="1"/>
  <c r="G67" i="1"/>
  <c r="H67" i="1"/>
  <c r="G69" i="1"/>
  <c r="H69" i="1"/>
  <c r="G70" i="1"/>
  <c r="GN2" i="22" s="1"/>
  <c r="H70" i="1"/>
  <c r="GN3" i="22" s="1"/>
  <c r="G73" i="1"/>
  <c r="HO2" i="22" s="1"/>
  <c r="H73" i="1"/>
  <c r="HO3" i="22" s="1"/>
  <c r="G75" i="1"/>
  <c r="H75" i="1"/>
  <c r="G76" i="1"/>
  <c r="H76" i="1"/>
  <c r="G77" i="1"/>
  <c r="H77" i="1"/>
  <c r="G5" i="1"/>
  <c r="P63" i="1"/>
  <c r="Q63" i="1"/>
  <c r="D63" i="1" s="1"/>
  <c r="FK4" i="22" s="1"/>
  <c r="P66" i="1"/>
  <c r="Q66" i="1"/>
  <c r="D66" i="1" s="1"/>
  <c r="FT4" i="22" s="1"/>
  <c r="P43" i="1"/>
  <c r="Q43" i="1"/>
  <c r="D43" i="1" s="1"/>
  <c r="P28" i="1"/>
  <c r="Q28" i="1"/>
  <c r="D28" i="1" s="1"/>
  <c r="P70" i="1"/>
  <c r="Q70" i="1"/>
  <c r="D70" i="1" s="1"/>
  <c r="GL4" i="22" s="1"/>
  <c r="Q8" i="1"/>
  <c r="Q12" i="1"/>
  <c r="Q15" i="1"/>
  <c r="Q16" i="1"/>
  <c r="Q18" i="1"/>
  <c r="Q19" i="1"/>
  <c r="Q20" i="1"/>
  <c r="Q21" i="1"/>
  <c r="Q23" i="1"/>
  <c r="Q24" i="1"/>
  <c r="Q25" i="1"/>
  <c r="Q26" i="1"/>
  <c r="Q27" i="1"/>
  <c r="Q29" i="1"/>
  <c r="Q30" i="1"/>
  <c r="Q33" i="1"/>
  <c r="Q34" i="1"/>
  <c r="Q37" i="1"/>
  <c r="Q39" i="1"/>
  <c r="Q40" i="1"/>
  <c r="Q42" i="1"/>
  <c r="Q50" i="1"/>
  <c r="Q53" i="1"/>
  <c r="Q54" i="1"/>
  <c r="Q55" i="1"/>
  <c r="Q59" i="1"/>
  <c r="Q61" i="1"/>
  <c r="Q62" i="1"/>
  <c r="Q73" i="1"/>
  <c r="Q77" i="1"/>
  <c r="Q5" i="1"/>
  <c r="P8" i="1"/>
  <c r="P12" i="1"/>
  <c r="P15" i="1"/>
  <c r="P16" i="1"/>
  <c r="P18" i="1"/>
  <c r="P19" i="1"/>
  <c r="P20" i="1"/>
  <c r="P21" i="1"/>
  <c r="P23" i="1"/>
  <c r="P24" i="1"/>
  <c r="P25" i="1"/>
  <c r="P26" i="1"/>
  <c r="P27" i="1"/>
  <c r="P29" i="1"/>
  <c r="P30" i="1"/>
  <c r="P33" i="1"/>
  <c r="P34" i="1"/>
  <c r="P37" i="1"/>
  <c r="P39" i="1"/>
  <c r="P40" i="1"/>
  <c r="P42" i="1"/>
  <c r="P50" i="1"/>
  <c r="P53" i="1"/>
  <c r="P54" i="1"/>
  <c r="P55" i="1"/>
  <c r="P59" i="1"/>
  <c r="P61" i="1"/>
  <c r="P62" i="1"/>
  <c r="P73" i="1"/>
  <c r="P77" i="1"/>
  <c r="P5" i="1"/>
  <c r="CJ3" i="22" l="1"/>
  <c r="I3" i="22"/>
  <c r="CJ2" i="22"/>
  <c r="I2" i="22"/>
  <c r="EU3" i="22"/>
  <c r="FD3" i="22"/>
  <c r="EU2" i="22"/>
  <c r="FD2" i="22"/>
  <c r="C28" i="1"/>
  <c r="E28" i="1" s="1"/>
  <c r="H5" i="12" s="1"/>
  <c r="F28" i="1"/>
  <c r="F43" i="1"/>
  <c r="C43" i="1"/>
  <c r="E43" i="1" s="1"/>
  <c r="F66" i="1"/>
  <c r="C66" i="1"/>
  <c r="C63" i="1"/>
  <c r="FI4" i="22" s="1"/>
  <c r="FH4" i="22" s="1"/>
  <c r="F63" i="1"/>
  <c r="F70" i="1"/>
  <c r="C70" i="1"/>
  <c r="GJ4" i="22" s="1"/>
  <c r="GI4" i="22" s="1"/>
  <c r="AF11" i="16"/>
  <c r="J22" i="16"/>
  <c r="AF8" i="16"/>
  <c r="J11" i="16"/>
  <c r="AF17" i="16"/>
  <c r="J39" i="16"/>
  <c r="AF15" i="16"/>
  <c r="J26" i="16"/>
  <c r="C26" i="16" s="1"/>
  <c r="E66" i="1" l="1"/>
  <c r="FR4" i="22"/>
  <c r="FQ4" i="22" s="1"/>
  <c r="E70" i="1"/>
  <c r="H52" i="12" s="1"/>
  <c r="E63" i="1"/>
  <c r="H63" i="12" s="1"/>
  <c r="D47" i="12"/>
  <c r="AU21" i="12"/>
  <c r="D42" i="12"/>
  <c r="D35" i="12"/>
  <c r="H23" i="12"/>
  <c r="D37" i="12"/>
  <c r="D46" i="12"/>
  <c r="H7" i="12"/>
  <c r="W44" i="17"/>
  <c r="C44" i="17" s="1"/>
  <c r="W39" i="17"/>
  <c r="D44" i="17" s="1"/>
  <c r="AN38" i="17"/>
  <c r="F38" i="17" s="1"/>
  <c r="W38" i="17"/>
  <c r="C38" i="17" s="1"/>
  <c r="R77" i="1" s="1"/>
  <c r="AN36" i="17"/>
  <c r="F36" i="17" s="1"/>
  <c r="W36" i="17"/>
  <c r="C36" i="17" s="1"/>
  <c r="R51" i="1" s="1"/>
  <c r="AN35" i="17"/>
  <c r="F35" i="17" s="1"/>
  <c r="W35" i="17"/>
  <c r="C35" i="17" s="1"/>
  <c r="R75" i="1" s="1"/>
  <c r="AN34" i="17"/>
  <c r="F34" i="17" s="1"/>
  <c r="W34" i="17"/>
  <c r="C34" i="17" s="1"/>
  <c r="R29" i="1" s="1"/>
  <c r="AN33" i="17"/>
  <c r="F33" i="17" s="1"/>
  <c r="W33" i="17"/>
  <c r="C33" i="17" s="1"/>
  <c r="R33" i="1" s="1"/>
  <c r="W31" i="17"/>
  <c r="C31" i="17" s="1"/>
  <c r="R55" i="1" s="1"/>
  <c r="AN30" i="17"/>
  <c r="F30" i="17" s="1"/>
  <c r="F42" i="17" s="1"/>
  <c r="W30" i="17"/>
  <c r="C30" i="17" s="1"/>
  <c r="D42" i="17" s="1"/>
  <c r="W29" i="17"/>
  <c r="C29" i="17" s="1"/>
  <c r="R37" i="1" s="1"/>
  <c r="W28" i="17"/>
  <c r="C28" i="17" s="1"/>
  <c r="R41" i="1" s="1"/>
  <c r="D28" i="17"/>
  <c r="S41" i="1" s="1"/>
  <c r="D41" i="1" s="1"/>
  <c r="AN27" i="17"/>
  <c r="F27" i="17" s="1"/>
  <c r="W27" i="17"/>
  <c r="C27" i="17" s="1"/>
  <c r="R53" i="1" s="1"/>
  <c r="W26" i="17"/>
  <c r="C26" i="17" s="1"/>
  <c r="R42" i="1" s="1"/>
  <c r="W25" i="17"/>
  <c r="C25" i="17" s="1"/>
  <c r="R5" i="1" s="1"/>
  <c r="AN24" i="17"/>
  <c r="F24" i="17" s="1"/>
  <c r="W24" i="17"/>
  <c r="C24" i="17" s="1"/>
  <c r="R40" i="1" s="1"/>
  <c r="AN23" i="17"/>
  <c r="F23" i="17" s="1"/>
  <c r="F41" i="17" s="1"/>
  <c r="AN22" i="17"/>
  <c r="F22" i="17" s="1"/>
  <c r="W22" i="17"/>
  <c r="C22" i="17" s="1"/>
  <c r="R21" i="1" s="1"/>
  <c r="W20" i="17"/>
  <c r="C20" i="17" s="1"/>
  <c r="R54" i="1" s="1"/>
  <c r="AN19" i="17"/>
  <c r="F19" i="17" s="1"/>
  <c r="W19" i="17"/>
  <c r="C19" i="17" s="1"/>
  <c r="R23" i="1" s="1"/>
  <c r="W17" i="17"/>
  <c r="C17" i="17"/>
  <c r="R12" i="1" s="1"/>
  <c r="AN16" i="17"/>
  <c r="F16" i="17" s="1"/>
  <c r="W16" i="17"/>
  <c r="C16" i="17" s="1"/>
  <c r="R59" i="1" s="1"/>
  <c r="AN13" i="17"/>
  <c r="F13" i="17" s="1"/>
  <c r="W13" i="17"/>
  <c r="C13" i="17" s="1"/>
  <c r="R18" i="1" s="1"/>
  <c r="AN10" i="17"/>
  <c r="F10" i="17" s="1"/>
  <c r="W10" i="17"/>
  <c r="C10" i="17" s="1"/>
  <c r="R20" i="1" s="1"/>
  <c r="AN7" i="17"/>
  <c r="F7" i="17" s="1"/>
  <c r="W7" i="17"/>
  <c r="C7" i="17" s="1"/>
  <c r="R30" i="1" s="1"/>
  <c r="AN6" i="17"/>
  <c r="F6" i="17"/>
  <c r="AN4" i="17"/>
  <c r="F4" i="17" s="1"/>
  <c r="W4" i="17"/>
  <c r="C4" i="17" s="1"/>
  <c r="R39" i="1" s="1"/>
  <c r="AN3" i="17"/>
  <c r="F3" i="17" s="1"/>
  <c r="C51" i="1" l="1"/>
  <c r="C41" i="1"/>
  <c r="E41" i="1" s="1"/>
  <c r="F41" i="1"/>
  <c r="C29" i="1"/>
  <c r="C59" i="1"/>
  <c r="DY4" i="22" s="1"/>
  <c r="R61" i="1"/>
  <c r="D25" i="17"/>
  <c r="S5" i="1" s="1"/>
  <c r="D24" i="17"/>
  <c r="S40" i="1" s="1"/>
  <c r="D27" i="17"/>
  <c r="E28" i="17"/>
  <c r="D30" i="17"/>
  <c r="E24" i="17"/>
  <c r="D26" i="17"/>
  <c r="D29" i="17"/>
  <c r="W3" i="17"/>
  <c r="C3" i="17" s="1"/>
  <c r="R15" i="1" s="1"/>
  <c r="W6" i="17"/>
  <c r="C6" i="17" s="1"/>
  <c r="R19" i="1" s="1"/>
  <c r="W9" i="17"/>
  <c r="C9" i="17" s="1"/>
  <c r="R25" i="1" s="1"/>
  <c r="AN9" i="17"/>
  <c r="F9" i="17" s="1"/>
  <c r="W12" i="17"/>
  <c r="C12" i="17" s="1"/>
  <c r="R34" i="1" s="1"/>
  <c r="AN12" i="17"/>
  <c r="F12" i="17" s="1"/>
  <c r="W15" i="17"/>
  <c r="C15" i="17" s="1"/>
  <c r="R24" i="1" s="1"/>
  <c r="AN15" i="17"/>
  <c r="F15" i="17" s="1"/>
  <c r="W18" i="17"/>
  <c r="C18" i="17" s="1"/>
  <c r="R8" i="1" s="1"/>
  <c r="AN18" i="17"/>
  <c r="F18" i="17" s="1"/>
  <c r="W21" i="17"/>
  <c r="C21" i="17" s="1"/>
  <c r="R73" i="1" s="1"/>
  <c r="AN21" i="17"/>
  <c r="F21" i="17" s="1"/>
  <c r="AN26" i="17"/>
  <c r="F26" i="17" s="1"/>
  <c r="AN29" i="17"/>
  <c r="F29" i="17" s="1"/>
  <c r="W32" i="17"/>
  <c r="C32" i="17" s="1"/>
  <c r="R62" i="1" s="1"/>
  <c r="AN32" i="17"/>
  <c r="F32" i="17" s="1"/>
  <c r="E44" i="17"/>
  <c r="W5" i="17"/>
  <c r="C5" i="17" s="1"/>
  <c r="R27" i="1" s="1"/>
  <c r="AN5" i="17"/>
  <c r="F5" i="17" s="1"/>
  <c r="W8" i="17"/>
  <c r="C8" i="17" s="1"/>
  <c r="R26" i="1" s="1"/>
  <c r="AN8" i="17"/>
  <c r="F8" i="17" s="1"/>
  <c r="W11" i="17"/>
  <c r="C11" i="17" s="1"/>
  <c r="R76" i="1" s="1"/>
  <c r="AN11" i="17"/>
  <c r="F11" i="17" s="1"/>
  <c r="W14" i="17"/>
  <c r="C14" i="17" s="1"/>
  <c r="R50" i="1" s="1"/>
  <c r="AN14" i="17"/>
  <c r="F14" i="17" s="1"/>
  <c r="AN17" i="17"/>
  <c r="F17" i="17" s="1"/>
  <c r="AN20" i="17"/>
  <c r="F20" i="17" s="1"/>
  <c r="W23" i="17"/>
  <c r="C23" i="17" s="1"/>
  <c r="D41" i="17" s="1"/>
  <c r="AN25" i="17"/>
  <c r="F25" i="17" s="1"/>
  <c r="AN28" i="17"/>
  <c r="F28" i="17" s="1"/>
  <c r="AN31" i="17"/>
  <c r="F31" i="17" s="1"/>
  <c r="D3" i="17"/>
  <c r="S15" i="1" s="1"/>
  <c r="D4" i="17"/>
  <c r="D5" i="17"/>
  <c r="S27" i="1" s="1"/>
  <c r="D27" i="1" s="1"/>
  <c r="D6" i="17"/>
  <c r="S19" i="1" s="1"/>
  <c r="D7" i="17"/>
  <c r="D8" i="17"/>
  <c r="S26" i="1" s="1"/>
  <c r="D9" i="17"/>
  <c r="S25" i="1" s="1"/>
  <c r="D10" i="17"/>
  <c r="D11" i="17"/>
  <c r="S76" i="1" s="1"/>
  <c r="D76" i="1" s="1"/>
  <c r="D12" i="17"/>
  <c r="S34" i="1" s="1"/>
  <c r="D13" i="17"/>
  <c r="D14" i="17"/>
  <c r="S50" i="1" s="1"/>
  <c r="D15" i="17"/>
  <c r="S24" i="1" s="1"/>
  <c r="D16" i="17"/>
  <c r="D17" i="17"/>
  <c r="D18" i="17"/>
  <c r="S8" i="1" s="1"/>
  <c r="D19" i="17"/>
  <c r="D20" i="17"/>
  <c r="D21" i="17"/>
  <c r="S73" i="1" s="1"/>
  <c r="D22" i="17"/>
  <c r="D23" i="17"/>
  <c r="E41" i="17" s="1"/>
  <c r="D31" i="17"/>
  <c r="S55" i="1" s="1"/>
  <c r="D32" i="17"/>
  <c r="S62" i="1" s="1"/>
  <c r="D62" i="1" s="1"/>
  <c r="D33" i="17"/>
  <c r="D34" i="17"/>
  <c r="D35" i="17"/>
  <c r="D36" i="17"/>
  <c r="D38" i="17"/>
  <c r="ES4" i="22" l="1"/>
  <c r="FB4" i="22"/>
  <c r="C76" i="1"/>
  <c r="E76" i="1" s="1"/>
  <c r="F76" i="1"/>
  <c r="C61" i="1"/>
  <c r="EH4" i="22" s="1"/>
  <c r="F27" i="1"/>
  <c r="C27" i="1"/>
  <c r="E27" i="1" s="1"/>
  <c r="F62" i="1"/>
  <c r="C62" i="1"/>
  <c r="EZ4" i="22" s="1"/>
  <c r="E25" i="17"/>
  <c r="E16" i="17"/>
  <c r="S59" i="1"/>
  <c r="E7" i="17"/>
  <c r="S30" i="1"/>
  <c r="E42" i="17"/>
  <c r="C42" i="17" s="1"/>
  <c r="S61" i="1"/>
  <c r="D61" i="1" s="1"/>
  <c r="EJ4" i="22" s="1"/>
  <c r="E26" i="17"/>
  <c r="S42" i="1"/>
  <c r="S16" i="1"/>
  <c r="E38" i="17"/>
  <c r="S77" i="1"/>
  <c r="E22" i="17"/>
  <c r="S21" i="1"/>
  <c r="C41" i="17"/>
  <c r="R16" i="1"/>
  <c r="E36" i="17"/>
  <c r="S51" i="1"/>
  <c r="E13" i="17"/>
  <c r="S18" i="1"/>
  <c r="E35" i="17"/>
  <c r="S75" i="1"/>
  <c r="E20" i="17"/>
  <c r="S54" i="1"/>
  <c r="E27" i="17"/>
  <c r="S53" i="1"/>
  <c r="E4" i="17"/>
  <c r="S39" i="1"/>
  <c r="E34" i="17"/>
  <c r="S29" i="1"/>
  <c r="E19" i="17"/>
  <c r="S23" i="1"/>
  <c r="E31" i="17"/>
  <c r="E33" i="17"/>
  <c r="S33" i="1"/>
  <c r="E10" i="17"/>
  <c r="S20" i="1"/>
  <c r="E17" i="17"/>
  <c r="S12" i="1"/>
  <c r="E30" i="17"/>
  <c r="E29" i="17"/>
  <c r="S37" i="1"/>
  <c r="E8" i="17"/>
  <c r="E21" i="17"/>
  <c r="E14" i="17"/>
  <c r="E5" i="17"/>
  <c r="E32" i="17"/>
  <c r="E18" i="17"/>
  <c r="E9" i="17"/>
  <c r="E12" i="17"/>
  <c r="E6" i="17"/>
  <c r="E23" i="17"/>
  <c r="E11" i="17"/>
  <c r="E15" i="17"/>
  <c r="E3" i="17"/>
  <c r="EY4" i="22" l="1"/>
  <c r="E62" i="1"/>
  <c r="EQ4" i="22"/>
  <c r="EP4" i="22" s="1"/>
  <c r="EG4" i="22"/>
  <c r="D51" i="1"/>
  <c r="E51" i="1" s="1"/>
  <c r="H73" i="12" s="1"/>
  <c r="F51" i="1"/>
  <c r="D29" i="1"/>
  <c r="E29" i="1" s="1"/>
  <c r="F29" i="1"/>
  <c r="D59" i="1"/>
  <c r="F59" i="1"/>
  <c r="E61" i="1"/>
  <c r="F61" i="1"/>
  <c r="J52" i="16"/>
  <c r="AF7" i="16"/>
  <c r="AF9" i="16"/>
  <c r="E59" i="1" l="1"/>
  <c r="EA4" i="22"/>
  <c r="DX4" i="22" s="1"/>
  <c r="AF13" i="16"/>
  <c r="J24" i="16"/>
  <c r="J32" i="16"/>
  <c r="AF16" i="16"/>
  <c r="AF4" i="16"/>
  <c r="J38" i="16" l="1"/>
  <c r="AF6" i="16"/>
  <c r="J17" i="16" l="1"/>
  <c r="AF14" i="16"/>
  <c r="AI8" i="16"/>
  <c r="AU7" i="16"/>
  <c r="AO14" i="16"/>
  <c r="AL26" i="16"/>
  <c r="AI31" i="16"/>
  <c r="AR12" i="16"/>
  <c r="AO13" i="16"/>
  <c r="AI30" i="16"/>
  <c r="BA26" i="16"/>
  <c r="EC26" i="22" s="1"/>
  <c r="BA25" i="16"/>
  <c r="DT26" i="22" s="1"/>
  <c r="BA24" i="16"/>
  <c r="DB17" i="22" s="1"/>
  <c r="AX16" i="16"/>
  <c r="DB16" i="22" s="1"/>
  <c r="AU22" i="16"/>
  <c r="DB15" i="22" s="1"/>
  <c r="AR6" i="16"/>
  <c r="DB14" i="22" s="1"/>
  <c r="AO17" i="16"/>
  <c r="DB13" i="22" s="1"/>
  <c r="AL9" i="16"/>
  <c r="DB12" i="22" s="1"/>
  <c r="AI7" i="16"/>
  <c r="DB11" i="22" s="1"/>
  <c r="BA6" i="16"/>
  <c r="DK36" i="22" s="1"/>
  <c r="AX15" i="16"/>
  <c r="DK35" i="22" s="1"/>
  <c r="AU19" i="16"/>
  <c r="DK34" i="22" s="1"/>
  <c r="AR27" i="16"/>
  <c r="DK33" i="22" s="1"/>
  <c r="AO4" i="16"/>
  <c r="DK32" i="22" s="1"/>
  <c r="AL6" i="16"/>
  <c r="DK31" i="22" s="1"/>
  <c r="AI29" i="16"/>
  <c r="DK30" i="22" s="1"/>
  <c r="AU4" i="16"/>
  <c r="AR26" i="16"/>
  <c r="AO12" i="16"/>
  <c r="AL25" i="16"/>
  <c r="AI28" i="16"/>
  <c r="BA15" i="16"/>
  <c r="BA14" i="16"/>
  <c r="AX9" i="16"/>
  <c r="AU10" i="16"/>
  <c r="AR25" i="16"/>
  <c r="AO20" i="16"/>
  <c r="AL15" i="16"/>
  <c r="AI27" i="16"/>
  <c r="BA23" i="16"/>
  <c r="BA22" i="16"/>
  <c r="BA21" i="16"/>
  <c r="AU6" i="16"/>
  <c r="AR24" i="16"/>
  <c r="AU18" i="16"/>
  <c r="BA13" i="16"/>
  <c r="AX7" i="16"/>
  <c r="AU17" i="16"/>
  <c r="AR11" i="16"/>
  <c r="AO26" i="16"/>
  <c r="AL14" i="16"/>
  <c r="AI14" i="16"/>
  <c r="BA5" i="16"/>
  <c r="AX4" i="16"/>
  <c r="AU31" i="16"/>
  <c r="AR5" i="16"/>
  <c r="AO15" i="16"/>
  <c r="AL5" i="16"/>
  <c r="AI13" i="16"/>
  <c r="AU12" i="16"/>
  <c r="AR7" i="16"/>
  <c r="AO10" i="16"/>
  <c r="AL8" i="16"/>
  <c r="AI11" i="16"/>
  <c r="AI26" i="16"/>
  <c r="BA20" i="16"/>
  <c r="AX8" i="16"/>
  <c r="AU30" i="16"/>
  <c r="AL12" i="16"/>
  <c r="AI25" i="16"/>
  <c r="AF12" i="16"/>
  <c r="BA19" i="16"/>
  <c r="AL24" i="16"/>
  <c r="AI24" i="16"/>
  <c r="AU21" i="16"/>
  <c r="AO11" i="16"/>
  <c r="AL23" i="16"/>
  <c r="AI23" i="16"/>
  <c r="BA4" i="16"/>
  <c r="AX11" i="16"/>
  <c r="AU29" i="16"/>
  <c r="AR23" i="16"/>
  <c r="AO7" i="16"/>
  <c r="AI22" i="16"/>
  <c r="AF5" i="16"/>
  <c r="AF21" i="16"/>
  <c r="AR10" i="16"/>
  <c r="AO25" i="16"/>
  <c r="AL22" i="16"/>
  <c r="AI6" i="16"/>
  <c r="BA12" i="16"/>
  <c r="AX6" i="16"/>
  <c r="AU28" i="16"/>
  <c r="AR22" i="16"/>
  <c r="AO5" i="16"/>
  <c r="AL4" i="16"/>
  <c r="AI21" i="16"/>
  <c r="AX20" i="16"/>
  <c r="AU27" i="16"/>
  <c r="AR21" i="16"/>
  <c r="AO19" i="16"/>
  <c r="AL21" i="16"/>
  <c r="AI18" i="16"/>
  <c r="AX10" i="16"/>
  <c r="AU16" i="16"/>
  <c r="AR8" i="16"/>
  <c r="AO16" i="16"/>
  <c r="AL20" i="16"/>
  <c r="AI20" i="16"/>
  <c r="BA7" i="16"/>
  <c r="AX19" i="16"/>
  <c r="AU15" i="16"/>
  <c r="AU26" i="16"/>
  <c r="AR20" i="16"/>
  <c r="AO6" i="16"/>
  <c r="AL11" i="16"/>
  <c r="AI17" i="16"/>
  <c r="BA11" i="16"/>
  <c r="AU25" i="16"/>
  <c r="AO9" i="16"/>
  <c r="AL7" i="16"/>
  <c r="AI5" i="16"/>
  <c r="AX12" i="16"/>
  <c r="AU11" i="16"/>
  <c r="AO24" i="16"/>
  <c r="AL13" i="16"/>
  <c r="AI16" i="16"/>
  <c r="AF10" i="16"/>
  <c r="BA18" i="16"/>
  <c r="AX5" i="16"/>
  <c r="AU14" i="16"/>
  <c r="AR9" i="16"/>
  <c r="AO23" i="16"/>
  <c r="AL10" i="16"/>
  <c r="AI19" i="16"/>
  <c r="BA10" i="16"/>
  <c r="AX13" i="16"/>
  <c r="AU9" i="16"/>
  <c r="AR19" i="16"/>
  <c r="AI4" i="16"/>
  <c r="AF19" i="16"/>
  <c r="AR4" i="16"/>
  <c r="AO22" i="16"/>
  <c r="AL19" i="16"/>
  <c r="AI10" i="16"/>
  <c r="AF18" i="16"/>
  <c r="AU13" i="16"/>
  <c r="AU8" i="16"/>
  <c r="AR18" i="16"/>
  <c r="BA17" i="16"/>
  <c r="AX17" i="16"/>
  <c r="AU24" i="16"/>
  <c r="AR17" i="16"/>
  <c r="AO8" i="16"/>
  <c r="AL18" i="16"/>
  <c r="AI9" i="16"/>
  <c r="AR16" i="16"/>
  <c r="BA9" i="16"/>
  <c r="AX18" i="16"/>
  <c r="AR15" i="16"/>
  <c r="BA16" i="16"/>
  <c r="AX14" i="16"/>
  <c r="AU23" i="16"/>
  <c r="AR14" i="16"/>
  <c r="AO18" i="16"/>
  <c r="AL17" i="16"/>
  <c r="AI15" i="16"/>
  <c r="AU20" i="16"/>
  <c r="AR13" i="16"/>
  <c r="AO21" i="16"/>
  <c r="AL16" i="16"/>
  <c r="BA8" i="16"/>
  <c r="AU5" i="16"/>
  <c r="AI12" i="16"/>
  <c r="AF20" i="16"/>
  <c r="J29" i="16"/>
  <c r="J15" i="16"/>
  <c r="J28" i="16"/>
  <c r="C28" i="16" s="1"/>
  <c r="J4" i="16"/>
  <c r="J36" i="16"/>
  <c r="J18" i="16"/>
  <c r="J14" i="16"/>
  <c r="K53" i="16"/>
  <c r="K52" i="16"/>
  <c r="K49" i="16"/>
  <c r="K37" i="16"/>
  <c r="C37" i="16" s="1"/>
  <c r="K36" i="16"/>
  <c r="K33" i="16"/>
  <c r="K32" i="16"/>
  <c r="K29" i="16"/>
  <c r="K24" i="16"/>
  <c r="K22" i="16"/>
  <c r="K17" i="16"/>
  <c r="K54" i="16"/>
  <c r="K41" i="16"/>
  <c r="K25" i="16"/>
  <c r="K14" i="16"/>
  <c r="K38" i="16"/>
  <c r="K15" i="16"/>
  <c r="K19" i="16"/>
  <c r="K11" i="16"/>
  <c r="K4" i="16"/>
  <c r="K23" i="16"/>
  <c r="K20" i="16"/>
  <c r="K18" i="16"/>
  <c r="K7" i="16"/>
  <c r="K39" i="16"/>
  <c r="L24" i="16"/>
  <c r="L54" i="16"/>
  <c r="L52" i="16"/>
  <c r="L33" i="16"/>
  <c r="L32" i="16"/>
  <c r="L25" i="16"/>
  <c r="L23" i="16"/>
  <c r="L22" i="16"/>
  <c r="L14" i="16"/>
  <c r="L11" i="16"/>
  <c r="L7" i="16"/>
  <c r="L5" i="16"/>
  <c r="L20" i="16"/>
  <c r="L49" i="16"/>
  <c r="L41" i="16"/>
  <c r="L19" i="16"/>
  <c r="L39" i="16"/>
  <c r="L36" i="16"/>
  <c r="L17" i="16"/>
  <c r="L53" i="16"/>
  <c r="L38" i="16"/>
  <c r="L18" i="16"/>
  <c r="M41" i="16"/>
  <c r="M25" i="16"/>
  <c r="M18" i="16"/>
  <c r="M17" i="16"/>
  <c r="M14" i="16"/>
  <c r="M5" i="16"/>
  <c r="M39" i="16"/>
  <c r="M38" i="16"/>
  <c r="M24" i="16"/>
  <c r="M52" i="16"/>
  <c r="M53" i="16"/>
  <c r="M49" i="16"/>
  <c r="M23" i="16"/>
  <c r="M19" i="16"/>
  <c r="M11" i="16"/>
  <c r="M7" i="16"/>
  <c r="M22" i="16"/>
  <c r="M54" i="16"/>
  <c r="M30" i="16"/>
  <c r="M20" i="16"/>
  <c r="M32" i="16"/>
  <c r="N53" i="16"/>
  <c r="N52" i="16"/>
  <c r="N49" i="16"/>
  <c r="N44" i="16"/>
  <c r="N30" i="16"/>
  <c r="N24" i="16"/>
  <c r="N23" i="16"/>
  <c r="N20" i="16"/>
  <c r="N16" i="16"/>
  <c r="N12" i="16"/>
  <c r="N11" i="16"/>
  <c r="N10" i="16"/>
  <c r="C10" i="16" s="1"/>
  <c r="N9" i="16"/>
  <c r="N7" i="16"/>
  <c r="N5" i="16"/>
  <c r="N38" i="16"/>
  <c r="N17" i="16"/>
  <c r="N54" i="16"/>
  <c r="N39" i="16"/>
  <c r="N41" i="16"/>
  <c r="N14" i="16"/>
  <c r="N22" i="16"/>
  <c r="N25" i="16"/>
  <c r="O39" i="16"/>
  <c r="O36" i="16"/>
  <c r="O30" i="16"/>
  <c r="O24" i="16"/>
  <c r="O23" i="16"/>
  <c r="O20" i="16"/>
  <c r="O19" i="16"/>
  <c r="O11" i="16"/>
  <c r="O7" i="16"/>
  <c r="O12" i="16"/>
  <c r="O54" i="16"/>
  <c r="O44" i="16"/>
  <c r="O18" i="16"/>
  <c r="O38" i="16"/>
  <c r="O32" i="16"/>
  <c r="O5" i="16"/>
  <c r="O16" i="16"/>
  <c r="O41" i="16"/>
  <c r="O52" i="16"/>
  <c r="C52" i="16" s="1"/>
  <c r="O13" i="16"/>
  <c r="C13" i="16" s="1"/>
  <c r="O4" i="16"/>
  <c r="O22" i="16"/>
  <c r="O17" i="16"/>
  <c r="O53" i="16"/>
  <c r="O43" i="16"/>
  <c r="C43" i="16" s="1"/>
  <c r="O21" i="16"/>
  <c r="P23" i="16"/>
  <c r="P21" i="16"/>
  <c r="P9" i="16"/>
  <c r="O49" i="16"/>
  <c r="P17" i="16"/>
  <c r="P16" i="16"/>
  <c r="P39" i="16"/>
  <c r="P49" i="16"/>
  <c r="P41" i="16"/>
  <c r="P22" i="16"/>
  <c r="P18" i="16"/>
  <c r="P11" i="16"/>
  <c r="P7" i="16"/>
  <c r="P24" i="16"/>
  <c r="P36" i="16"/>
  <c r="Q59" i="16"/>
  <c r="C59" i="16" s="1"/>
  <c r="Q55" i="16"/>
  <c r="C55" i="16" s="1"/>
  <c r="Q54" i="16"/>
  <c r="Q48" i="16"/>
  <c r="C48" i="16" s="1"/>
  <c r="Q46" i="16"/>
  <c r="C46" i="16" s="1"/>
  <c r="Q45" i="16"/>
  <c r="C45" i="16" s="1"/>
  <c r="Q36" i="16"/>
  <c r="Q35" i="16"/>
  <c r="C35" i="16" s="1"/>
  <c r="Q17" i="16"/>
  <c r="Q8" i="16"/>
  <c r="C8" i="16" s="1"/>
  <c r="Q11" i="16"/>
  <c r="P30" i="16"/>
  <c r="P54" i="16"/>
  <c r="P53" i="16"/>
  <c r="Q19" i="16"/>
  <c r="Q30" i="16"/>
  <c r="Q53" i="16"/>
  <c r="Q41" i="16"/>
  <c r="Q24" i="16"/>
  <c r="Q49" i="16"/>
  <c r="Q16" i="16"/>
  <c r="Q4" i="16"/>
  <c r="Q9" i="16"/>
  <c r="Q21" i="16"/>
  <c r="Q39" i="16"/>
  <c r="C39" i="16" s="1"/>
  <c r="Q50" i="16"/>
  <c r="C50" i="16" s="1"/>
  <c r="W37" i="2"/>
  <c r="C37" i="2" s="1"/>
  <c r="E37" i="2" s="1"/>
  <c r="W33" i="2"/>
  <c r="D29" i="2" s="1"/>
  <c r="AN32" i="2"/>
  <c r="F32" i="2" s="1"/>
  <c r="W32" i="2"/>
  <c r="C32" i="2" s="1"/>
  <c r="AN30" i="2"/>
  <c r="F30" i="2" s="1"/>
  <c r="W30" i="2"/>
  <c r="C30" i="2" s="1"/>
  <c r="AN29" i="2"/>
  <c r="F29" i="2" s="1"/>
  <c r="F35" i="2" s="1"/>
  <c r="W29" i="2"/>
  <c r="C29" i="2" s="1"/>
  <c r="AN28" i="2"/>
  <c r="F28" i="2" s="1"/>
  <c r="W28" i="2"/>
  <c r="C28" i="2" s="1"/>
  <c r="T37" i="1" s="1"/>
  <c r="AN27" i="2"/>
  <c r="F27" i="2" s="1"/>
  <c r="W27" i="2"/>
  <c r="C27" i="2" s="1"/>
  <c r="AN26" i="2"/>
  <c r="F26" i="2"/>
  <c r="W26" i="2"/>
  <c r="C26" i="2"/>
  <c r="AN25" i="2"/>
  <c r="F25" i="2"/>
  <c r="W25" i="2"/>
  <c r="C25" i="2" s="1"/>
  <c r="AN24" i="2"/>
  <c r="F24" i="2" s="1"/>
  <c r="W24" i="2"/>
  <c r="C24" i="2" s="1"/>
  <c r="AN23" i="2"/>
  <c r="F23" i="2" s="1"/>
  <c r="W23" i="2"/>
  <c r="C23" i="2" s="1"/>
  <c r="AN22" i="2"/>
  <c r="F22" i="2"/>
  <c r="W22" i="2"/>
  <c r="C22" i="2" s="1"/>
  <c r="T38" i="1" s="1"/>
  <c r="AN21" i="2"/>
  <c r="F21" i="2" s="1"/>
  <c r="W21" i="2"/>
  <c r="C21" i="2" s="1"/>
  <c r="AN20" i="2"/>
  <c r="F20" i="2" s="1"/>
  <c r="W20" i="2"/>
  <c r="C20" i="2" s="1"/>
  <c r="E20" i="2" s="1"/>
  <c r="AN19" i="2"/>
  <c r="F19" i="2" s="1"/>
  <c r="W19" i="2"/>
  <c r="C19" i="2" s="1"/>
  <c r="AN18" i="2"/>
  <c r="W18" i="2"/>
  <c r="C18" i="2" s="1"/>
  <c r="AN17" i="2"/>
  <c r="W17" i="2"/>
  <c r="C17" i="2" s="1"/>
  <c r="AN16" i="2"/>
  <c r="F16" i="2"/>
  <c r="W16" i="2"/>
  <c r="C16" i="2" s="1"/>
  <c r="AN15" i="2"/>
  <c r="F15" i="2"/>
  <c r="W15" i="2"/>
  <c r="C15" i="2" s="1"/>
  <c r="AN14" i="2"/>
  <c r="F14" i="2" s="1"/>
  <c r="W14" i="2"/>
  <c r="C14" i="2"/>
  <c r="AN13" i="2"/>
  <c r="F13" i="2" s="1"/>
  <c r="W13" i="2"/>
  <c r="C13" i="2" s="1"/>
  <c r="AN12" i="2"/>
  <c r="F12" i="2"/>
  <c r="W12" i="2"/>
  <c r="C12" i="2" s="1"/>
  <c r="AN11" i="2"/>
  <c r="F11" i="2" s="1"/>
  <c r="W11" i="2"/>
  <c r="C11" i="2" s="1"/>
  <c r="AN10" i="2"/>
  <c r="F10" i="2" s="1"/>
  <c r="W10" i="2"/>
  <c r="C10" i="2" s="1"/>
  <c r="W9" i="2"/>
  <c r="C9" i="2" s="1"/>
  <c r="T5" i="1" s="1"/>
  <c r="AN8" i="2"/>
  <c r="F8" i="2" s="1"/>
  <c r="W8" i="2"/>
  <c r="C8" i="2"/>
  <c r="T30" i="1" s="1"/>
  <c r="C30" i="1" s="1"/>
  <c r="W6" i="2"/>
  <c r="C6" i="2" s="1"/>
  <c r="AN5" i="2"/>
  <c r="F5" i="2" s="1"/>
  <c r="W5" i="2"/>
  <c r="C5" i="2" s="1"/>
  <c r="W3" i="2"/>
  <c r="C3" i="2" s="1"/>
  <c r="D18" i="2"/>
  <c r="D30" i="2"/>
  <c r="U67" i="1" s="1"/>
  <c r="D67" i="1" s="1"/>
  <c r="W4" i="2"/>
  <c r="C4" i="2" s="1"/>
  <c r="AN4" i="2"/>
  <c r="F4" i="2" s="1"/>
  <c r="W7" i="2"/>
  <c r="C7" i="2" s="1"/>
  <c r="T19" i="1" s="1"/>
  <c r="AN7" i="2"/>
  <c r="F7" i="2" s="1"/>
  <c r="AN3" i="2"/>
  <c r="F3" i="2" s="1"/>
  <c r="AN6" i="2"/>
  <c r="F6" i="2" s="1"/>
  <c r="AN9" i="2"/>
  <c r="F9" i="2" s="1"/>
  <c r="D37" i="2"/>
  <c r="D3" i="2"/>
  <c r="D4" i="2"/>
  <c r="D6" i="2"/>
  <c r="D7" i="2"/>
  <c r="D8" i="2"/>
  <c r="D9" i="2"/>
  <c r="U5" i="1" s="1"/>
  <c r="D10" i="2"/>
  <c r="D11" i="2"/>
  <c r="D12" i="2"/>
  <c r="D13" i="2"/>
  <c r="D14" i="2"/>
  <c r="E14" i="2" s="1"/>
  <c r="D15" i="2"/>
  <c r="U23" i="1" s="1"/>
  <c r="D16" i="2"/>
  <c r="U24" i="1" s="1"/>
  <c r="D17" i="2"/>
  <c r="D32" i="2"/>
  <c r="D5" i="2"/>
  <c r="D19" i="2"/>
  <c r="U8" i="1" s="1"/>
  <c r="D20" i="2"/>
  <c r="U18" i="1" s="1"/>
  <c r="D21" i="2"/>
  <c r="D22" i="2"/>
  <c r="D23" i="2"/>
  <c r="D24" i="2"/>
  <c r="D25" i="2"/>
  <c r="D26" i="2"/>
  <c r="D27" i="2"/>
  <c r="U25" i="1" s="1"/>
  <c r="D28" i="2"/>
  <c r="H5" i="1"/>
  <c r="AA6" i="1"/>
  <c r="U12" i="1"/>
  <c r="U15" i="1"/>
  <c r="AA17" i="1"/>
  <c r="U19" i="1"/>
  <c r="U20" i="1"/>
  <c r="T21" i="1"/>
  <c r="U21" i="1"/>
  <c r="U26" i="1"/>
  <c r="U30" i="1"/>
  <c r="U33" i="1"/>
  <c r="U34" i="1"/>
  <c r="AG37" i="1"/>
  <c r="U38" i="1"/>
  <c r="D38" i="1" s="1"/>
  <c r="U39" i="1"/>
  <c r="T40" i="1"/>
  <c r="U40" i="1"/>
  <c r="U42" i="1"/>
  <c r="AA45" i="1"/>
  <c r="AG46" i="1"/>
  <c r="D46" i="1" s="1"/>
  <c r="AG47" i="1"/>
  <c r="D47" i="1" s="1"/>
  <c r="U50" i="1"/>
  <c r="AG52" i="1"/>
  <c r="D52" i="1" s="1"/>
  <c r="U53" i="1"/>
  <c r="U54" i="1"/>
  <c r="U55" i="1"/>
  <c r="U73" i="1"/>
  <c r="U75" i="1"/>
  <c r="D75" i="1" s="1"/>
  <c r="U77" i="1"/>
  <c r="AP4" i="3"/>
  <c r="F4" i="3" s="1"/>
  <c r="AP8" i="3"/>
  <c r="F8" i="3" s="1"/>
  <c r="AP9" i="3"/>
  <c r="F9" i="3" s="1"/>
  <c r="AP11" i="3"/>
  <c r="AP12" i="3"/>
  <c r="AP13" i="3"/>
  <c r="F13" i="3" s="1"/>
  <c r="AP15" i="3"/>
  <c r="F15" i="3"/>
  <c r="AP16" i="3"/>
  <c r="F16" i="3" s="1"/>
  <c r="AP17" i="3"/>
  <c r="F17" i="3" s="1"/>
  <c r="AP20" i="3"/>
  <c r="F20" i="3" s="1"/>
  <c r="AP21" i="3"/>
  <c r="F21" i="3" s="1"/>
  <c r="AP22" i="3"/>
  <c r="F22" i="3" s="1"/>
  <c r="AP24" i="3"/>
  <c r="F24" i="3" s="1"/>
  <c r="AP25" i="3"/>
  <c r="F25" i="3" s="1"/>
  <c r="AP27" i="3"/>
  <c r="F27" i="3" s="1"/>
  <c r="X30" i="3"/>
  <c r="C30" i="3" s="1"/>
  <c r="X28" i="3"/>
  <c r="X27" i="3"/>
  <c r="C27" i="3"/>
  <c r="X25" i="3"/>
  <c r="C25" i="3"/>
  <c r="V33" i="1" s="1"/>
  <c r="X24" i="3"/>
  <c r="C24" i="3" s="1"/>
  <c r="AP23" i="3"/>
  <c r="F23" i="3" s="1"/>
  <c r="X23" i="3"/>
  <c r="C23" i="3" s="1"/>
  <c r="X22" i="3"/>
  <c r="C22" i="3" s="1"/>
  <c r="V39" i="1" s="1"/>
  <c r="X21" i="3"/>
  <c r="C21" i="3" s="1"/>
  <c r="V26" i="1" s="1"/>
  <c r="X20" i="3"/>
  <c r="C20" i="3" s="1"/>
  <c r="V23" i="1" s="1"/>
  <c r="AP19" i="3"/>
  <c r="F19" i="3" s="1"/>
  <c r="X19" i="3"/>
  <c r="C19" i="3" s="1"/>
  <c r="V53" i="1" s="1"/>
  <c r="AP18" i="3"/>
  <c r="F18" i="3" s="1"/>
  <c r="X18" i="3"/>
  <c r="C18" i="3" s="1"/>
  <c r="V34" i="1" s="1"/>
  <c r="X17" i="3"/>
  <c r="C17" i="3" s="1"/>
  <c r="X16" i="3"/>
  <c r="C16" i="3" s="1"/>
  <c r="V50" i="1" s="1"/>
  <c r="X15" i="3"/>
  <c r="C15" i="3" s="1"/>
  <c r="AP14" i="3"/>
  <c r="F14" i="3"/>
  <c r="X14" i="3"/>
  <c r="C14" i="3"/>
  <c r="X13" i="3"/>
  <c r="C13" i="3" s="1"/>
  <c r="V40" i="1" s="1"/>
  <c r="X12" i="3"/>
  <c r="C12" i="3" s="1"/>
  <c r="V12" i="1" s="1"/>
  <c r="X11" i="3"/>
  <c r="C11" i="3" s="1"/>
  <c r="AP10" i="3"/>
  <c r="F10" i="3" s="1"/>
  <c r="X10" i="3"/>
  <c r="C10" i="3" s="1"/>
  <c r="V24" i="1" s="1"/>
  <c r="X9" i="3"/>
  <c r="C9" i="3" s="1"/>
  <c r="V18" i="1" s="1"/>
  <c r="X8" i="3"/>
  <c r="C8" i="3" s="1"/>
  <c r="V55" i="1" s="1"/>
  <c r="AP7" i="3"/>
  <c r="F7" i="3" s="1"/>
  <c r="X7" i="3"/>
  <c r="C7" i="3" s="1"/>
  <c r="V73" i="1" s="1"/>
  <c r="AP6" i="3"/>
  <c r="F6" i="3"/>
  <c r="X6" i="3"/>
  <c r="C6" i="3" s="1"/>
  <c r="AP5" i="3"/>
  <c r="F5" i="3" s="1"/>
  <c r="X5" i="3"/>
  <c r="C5" i="3" s="1"/>
  <c r="V54" i="1" s="1"/>
  <c r="X4" i="3"/>
  <c r="C4" i="3" s="1"/>
  <c r="AP3" i="3"/>
  <c r="F3" i="3"/>
  <c r="X3" i="3"/>
  <c r="C3" i="3"/>
  <c r="V25" i="1" s="1"/>
  <c r="D27" i="3"/>
  <c r="W77" i="1" s="1"/>
  <c r="X30" i="4"/>
  <c r="C30" i="4" s="1"/>
  <c r="F30" i="4"/>
  <c r="X28" i="4"/>
  <c r="D4" i="4" s="1"/>
  <c r="Y21" i="1" s="1"/>
  <c r="AP27" i="4"/>
  <c r="F27" i="4"/>
  <c r="X27" i="4"/>
  <c r="C27" i="4"/>
  <c r="X77" i="1" s="1"/>
  <c r="AP25" i="4"/>
  <c r="F25" i="4" s="1"/>
  <c r="X25" i="4"/>
  <c r="C25" i="4" s="1"/>
  <c r="AP24" i="4"/>
  <c r="F24" i="4" s="1"/>
  <c r="X24" i="4"/>
  <c r="C24" i="4" s="1"/>
  <c r="AP23" i="4"/>
  <c r="F23" i="4"/>
  <c r="X23" i="4"/>
  <c r="C23" i="4" s="1"/>
  <c r="X18" i="1" s="1"/>
  <c r="AP22" i="4"/>
  <c r="F22" i="4" s="1"/>
  <c r="X22" i="4"/>
  <c r="C22" i="4" s="1"/>
  <c r="X25" i="1" s="1"/>
  <c r="AP21" i="4"/>
  <c r="F21" i="4" s="1"/>
  <c r="X21" i="4"/>
  <c r="C21" i="4" s="1"/>
  <c r="AP20" i="4"/>
  <c r="F20" i="4" s="1"/>
  <c r="X20" i="4"/>
  <c r="C20" i="4" s="1"/>
  <c r="D20" i="4"/>
  <c r="Y26" i="1" s="1"/>
  <c r="AP19" i="4"/>
  <c r="F19" i="4" s="1"/>
  <c r="X19" i="4"/>
  <c r="C19" i="4" s="1"/>
  <c r="X15" i="1" s="1"/>
  <c r="AP18" i="4"/>
  <c r="F18" i="4"/>
  <c r="X18" i="4"/>
  <c r="C18" i="4" s="1"/>
  <c r="X55" i="1" s="1"/>
  <c r="AP17" i="4"/>
  <c r="F17" i="4" s="1"/>
  <c r="X17" i="4"/>
  <c r="C17" i="4" s="1"/>
  <c r="AP16" i="4"/>
  <c r="F16" i="4" s="1"/>
  <c r="X16" i="4"/>
  <c r="C16" i="4" s="1"/>
  <c r="AP15" i="4"/>
  <c r="F15" i="4" s="1"/>
  <c r="X15" i="4"/>
  <c r="C15" i="4" s="1"/>
  <c r="X33" i="1" s="1"/>
  <c r="AP14" i="4"/>
  <c r="F14" i="4" s="1"/>
  <c r="X14" i="4"/>
  <c r="C14" i="4"/>
  <c r="X24" i="1" s="1"/>
  <c r="AP13" i="4"/>
  <c r="F13" i="4" s="1"/>
  <c r="X13" i="4"/>
  <c r="C13" i="4" s="1"/>
  <c r="AP12" i="4"/>
  <c r="F12" i="4" s="1"/>
  <c r="X12" i="4"/>
  <c r="C12" i="4" s="1"/>
  <c r="D12" i="4"/>
  <c r="Y19" i="1" s="1"/>
  <c r="AP11" i="4"/>
  <c r="F11" i="4" s="1"/>
  <c r="X11" i="4"/>
  <c r="C11" i="4" s="1"/>
  <c r="X53" i="1" s="1"/>
  <c r="AP10" i="4"/>
  <c r="F10" i="4" s="1"/>
  <c r="X10" i="4"/>
  <c r="C10" i="4" s="1"/>
  <c r="X54" i="1" s="1"/>
  <c r="AP9" i="4"/>
  <c r="F9" i="4" s="1"/>
  <c r="X9" i="4"/>
  <c r="C9" i="4" s="1"/>
  <c r="AP8" i="4"/>
  <c r="F8" i="4" s="1"/>
  <c r="X8" i="4"/>
  <c r="C8" i="4" s="1"/>
  <c r="D8" i="4"/>
  <c r="Y31" i="1" s="1"/>
  <c r="AP7" i="4"/>
  <c r="F7" i="4" s="1"/>
  <c r="X7" i="4"/>
  <c r="C7" i="4" s="1"/>
  <c r="AP6" i="4"/>
  <c r="F6" i="4" s="1"/>
  <c r="X6" i="4"/>
  <c r="C6" i="4"/>
  <c r="X8" i="1" s="1"/>
  <c r="AP5" i="4"/>
  <c r="F5" i="4" s="1"/>
  <c r="X5" i="4"/>
  <c r="C5" i="4" s="1"/>
  <c r="AP4" i="4"/>
  <c r="F4" i="4" s="1"/>
  <c r="X4" i="4"/>
  <c r="C4" i="4" s="1"/>
  <c r="AP3" i="4"/>
  <c r="F3" i="4" s="1"/>
  <c r="X3" i="4"/>
  <c r="C3" i="4" s="1"/>
  <c r="X39" i="1" s="1"/>
  <c r="W31" i="5"/>
  <c r="C31" i="5" s="1"/>
  <c r="F31" i="5"/>
  <c r="W29" i="5"/>
  <c r="D19" i="5" s="1"/>
  <c r="AA21" i="1" s="1"/>
  <c r="AN28" i="5"/>
  <c r="F28" i="5" s="1"/>
  <c r="W28" i="5"/>
  <c r="C28" i="5" s="1"/>
  <c r="Z77" i="1" s="1"/>
  <c r="AN26" i="5"/>
  <c r="F26" i="5" s="1"/>
  <c r="W26" i="5"/>
  <c r="C26" i="5" s="1"/>
  <c r="AN25" i="5"/>
  <c r="F25" i="5" s="1"/>
  <c r="W25" i="5"/>
  <c r="C25" i="5" s="1"/>
  <c r="AN24" i="5"/>
  <c r="F24" i="5" s="1"/>
  <c r="W24" i="5"/>
  <c r="C24" i="5" s="1"/>
  <c r="AN23" i="5"/>
  <c r="F23" i="5" s="1"/>
  <c r="W23" i="5"/>
  <c r="C23" i="5" s="1"/>
  <c r="Z69" i="1" s="1"/>
  <c r="AN22" i="5"/>
  <c r="F22" i="5" s="1"/>
  <c r="W22" i="5"/>
  <c r="C22" i="5" s="1"/>
  <c r="Z25" i="1" s="1"/>
  <c r="AN21" i="5"/>
  <c r="F21" i="5" s="1"/>
  <c r="W21" i="5"/>
  <c r="C21" i="5"/>
  <c r="Z11" i="1" s="1"/>
  <c r="D21" i="5"/>
  <c r="AA11" i="1" s="1"/>
  <c r="D11" i="1" s="1"/>
  <c r="AN20" i="5"/>
  <c r="F20" i="5" s="1"/>
  <c r="W20" i="5"/>
  <c r="C20" i="5" s="1"/>
  <c r="D20" i="5"/>
  <c r="AA42" i="1" s="1"/>
  <c r="AN19" i="5"/>
  <c r="F19" i="5" s="1"/>
  <c r="W19" i="5"/>
  <c r="C19" i="5" s="1"/>
  <c r="AN18" i="5"/>
  <c r="F18" i="5" s="1"/>
  <c r="W18" i="5"/>
  <c r="C18" i="5" s="1"/>
  <c r="Z13" i="1" s="1"/>
  <c r="D18" i="5"/>
  <c r="AA13" i="1" s="1"/>
  <c r="AN17" i="5"/>
  <c r="F17" i="5" s="1"/>
  <c r="W17" i="5"/>
  <c r="C17" i="5" s="1"/>
  <c r="Z31" i="1" s="1"/>
  <c r="AN16" i="5"/>
  <c r="F16" i="5" s="1"/>
  <c r="W16" i="5"/>
  <c r="C16" i="5"/>
  <c r="Z10" i="1" s="1"/>
  <c r="AN15" i="5"/>
  <c r="F15" i="5" s="1"/>
  <c r="W15" i="5"/>
  <c r="C15" i="5" s="1"/>
  <c r="Z24" i="1" s="1"/>
  <c r="AN14" i="5"/>
  <c r="F14" i="5" s="1"/>
  <c r="W14" i="5"/>
  <c r="C14" i="5" s="1"/>
  <c r="Z40" i="1" s="1"/>
  <c r="AN13" i="5"/>
  <c r="F13" i="5" s="1"/>
  <c r="W13" i="5"/>
  <c r="C13" i="5" s="1"/>
  <c r="D13" i="5"/>
  <c r="AA50" i="1" s="1"/>
  <c r="AN12" i="5"/>
  <c r="F12" i="5"/>
  <c r="W12" i="5"/>
  <c r="C12" i="5" s="1"/>
  <c r="Z8" i="1" s="1"/>
  <c r="D12" i="5"/>
  <c r="AA8" i="1" s="1"/>
  <c r="AN11" i="5"/>
  <c r="F11" i="5"/>
  <c r="W11" i="5"/>
  <c r="C11" i="5" s="1"/>
  <c r="Z26" i="1" s="1"/>
  <c r="D11" i="5"/>
  <c r="AA26" i="1" s="1"/>
  <c r="AN10" i="5"/>
  <c r="F10" i="5" s="1"/>
  <c r="W10" i="5"/>
  <c r="C10" i="5" s="1"/>
  <c r="Z54" i="1" s="1"/>
  <c r="D10" i="5"/>
  <c r="AA54" i="1" s="1"/>
  <c r="AN9" i="5"/>
  <c r="F9" i="5" s="1"/>
  <c r="W9" i="5"/>
  <c r="C9" i="5" s="1"/>
  <c r="Z12" i="1" s="1"/>
  <c r="AN8" i="5"/>
  <c r="F8" i="5" s="1"/>
  <c r="W8" i="5"/>
  <c r="C8" i="5" s="1"/>
  <c r="AN7" i="5"/>
  <c r="F7" i="5" s="1"/>
  <c r="W7" i="5"/>
  <c r="C7" i="5" s="1"/>
  <c r="D7" i="5"/>
  <c r="AA39" i="1" s="1"/>
  <c r="AN6" i="5"/>
  <c r="F6" i="5" s="1"/>
  <c r="W6" i="5"/>
  <c r="C6" i="5" s="1"/>
  <c r="Z15" i="1" s="1"/>
  <c r="AN5" i="5"/>
  <c r="F5" i="5" s="1"/>
  <c r="W5" i="5"/>
  <c r="C5" i="5" s="1"/>
  <c r="Z23" i="1" s="1"/>
  <c r="D5" i="5"/>
  <c r="AA23" i="1" s="1"/>
  <c r="AN4" i="5"/>
  <c r="F4" i="5" s="1"/>
  <c r="W4" i="5"/>
  <c r="C4" i="5" s="1"/>
  <c r="D4" i="5"/>
  <c r="AA53" i="1" s="1"/>
  <c r="AN3" i="5"/>
  <c r="F3" i="5" s="1"/>
  <c r="W3" i="5"/>
  <c r="C3" i="5" s="1"/>
  <c r="D28" i="5"/>
  <c r="AA77" i="1" s="1"/>
  <c r="E11" i="5"/>
  <c r="E18" i="5"/>
  <c r="W35" i="6"/>
  <c r="W33" i="6"/>
  <c r="AN32" i="6"/>
  <c r="W32" i="6"/>
  <c r="AN30" i="6"/>
  <c r="W30" i="6"/>
  <c r="AC33" i="1"/>
  <c r="AN29" i="6"/>
  <c r="W29" i="6"/>
  <c r="AN28" i="6"/>
  <c r="W28" i="6"/>
  <c r="AN27" i="6"/>
  <c r="W27" i="6"/>
  <c r="AN26" i="6"/>
  <c r="W26" i="6"/>
  <c r="AN19" i="6"/>
  <c r="W19" i="6"/>
  <c r="AN25" i="6"/>
  <c r="W25" i="6"/>
  <c r="AN24" i="6"/>
  <c r="W24" i="6"/>
  <c r="AN23" i="6"/>
  <c r="W23" i="6"/>
  <c r="AN22" i="6"/>
  <c r="W22" i="6"/>
  <c r="AN21" i="6"/>
  <c r="W21" i="6"/>
  <c r="AN20" i="6"/>
  <c r="W20" i="6"/>
  <c r="AN18" i="6"/>
  <c r="W18" i="6"/>
  <c r="AN17" i="6"/>
  <c r="W17" i="6"/>
  <c r="AN16" i="6"/>
  <c r="W16" i="6"/>
  <c r="AN15" i="6"/>
  <c r="W15" i="6"/>
  <c r="AN14" i="6"/>
  <c r="W14" i="6"/>
  <c r="AN13" i="6"/>
  <c r="W13" i="6"/>
  <c r="AN12" i="6"/>
  <c r="W12" i="6"/>
  <c r="AN11" i="6"/>
  <c r="W11" i="6"/>
  <c r="AN10" i="6"/>
  <c r="W10" i="6"/>
  <c r="AN9" i="6"/>
  <c r="W9" i="6"/>
  <c r="AN8" i="6"/>
  <c r="W8" i="6"/>
  <c r="AN7" i="6"/>
  <c r="W7" i="6"/>
  <c r="AN6" i="6"/>
  <c r="W6" i="6"/>
  <c r="AN5" i="6"/>
  <c r="W5" i="6"/>
  <c r="AN4" i="6"/>
  <c r="W4" i="6"/>
  <c r="AN3" i="6"/>
  <c r="W3" i="6"/>
  <c r="W24" i="7"/>
  <c r="C24" i="7" s="1"/>
  <c r="F24" i="7"/>
  <c r="W22" i="7"/>
  <c r="D21" i="7" s="1"/>
  <c r="AN21" i="7"/>
  <c r="F21" i="7" s="1"/>
  <c r="W21" i="7"/>
  <c r="C21" i="7" s="1"/>
  <c r="AD77" i="1" s="1"/>
  <c r="AN19" i="7"/>
  <c r="F19" i="7"/>
  <c r="W19" i="7"/>
  <c r="C19" i="7" s="1"/>
  <c r="D19" i="7"/>
  <c r="AE10" i="1" s="1"/>
  <c r="AN18" i="7"/>
  <c r="F18" i="7"/>
  <c r="W18" i="7"/>
  <c r="C18" i="7" s="1"/>
  <c r="D18" i="7"/>
  <c r="AE22" i="1" s="1"/>
  <c r="AN17" i="7"/>
  <c r="F17" i="7" s="1"/>
  <c r="W17" i="7"/>
  <c r="C17" i="7" s="1"/>
  <c r="AD54" i="1" s="1"/>
  <c r="D17" i="7"/>
  <c r="AE54" i="1" s="1"/>
  <c r="AN16" i="7"/>
  <c r="F16" i="7" s="1"/>
  <c r="W16" i="7"/>
  <c r="C16" i="7" s="1"/>
  <c r="AN15" i="7"/>
  <c r="F15" i="7" s="1"/>
  <c r="W15" i="7"/>
  <c r="C15" i="7" s="1"/>
  <c r="AN14" i="7"/>
  <c r="F14" i="7" s="1"/>
  <c r="W14" i="7"/>
  <c r="C14" i="7"/>
  <c r="AD55" i="1" s="1"/>
  <c r="D14" i="7"/>
  <c r="AE55" i="1" s="1"/>
  <c r="AN13" i="7"/>
  <c r="F13" i="7" s="1"/>
  <c r="W13" i="7"/>
  <c r="C13" i="7" s="1"/>
  <c r="AD12" i="1" s="1"/>
  <c r="AN12" i="7"/>
  <c r="F12" i="7" s="1"/>
  <c r="W12" i="7"/>
  <c r="C12" i="7" s="1"/>
  <c r="D12" i="7"/>
  <c r="AE17" i="1" s="1"/>
  <c r="AN11" i="7"/>
  <c r="F11" i="7"/>
  <c r="W11" i="7"/>
  <c r="C11" i="7" s="1"/>
  <c r="D11" i="7"/>
  <c r="AE8" i="1" s="1"/>
  <c r="AN10" i="7"/>
  <c r="F10" i="7" s="1"/>
  <c r="W10" i="7"/>
  <c r="C10" i="7" s="1"/>
  <c r="D10" i="7"/>
  <c r="AE50" i="1" s="1"/>
  <c r="AN9" i="7"/>
  <c r="F9" i="7" s="1"/>
  <c r="W9" i="7"/>
  <c r="C9" i="7" s="1"/>
  <c r="AD18" i="1" s="1"/>
  <c r="D9" i="7"/>
  <c r="AE18" i="1" s="1"/>
  <c r="AN8" i="7"/>
  <c r="F8" i="7" s="1"/>
  <c r="W8" i="7"/>
  <c r="C8" i="7" s="1"/>
  <c r="AN7" i="7"/>
  <c r="F7" i="7"/>
  <c r="W7" i="7"/>
  <c r="C7" i="7" s="1"/>
  <c r="AN6" i="7"/>
  <c r="F6" i="7" s="1"/>
  <c r="W6" i="7"/>
  <c r="C6" i="7" s="1"/>
  <c r="AD19" i="1" s="1"/>
  <c r="D6" i="7"/>
  <c r="AE19" i="1" s="1"/>
  <c r="AN5" i="7"/>
  <c r="F5" i="7" s="1"/>
  <c r="W5" i="7"/>
  <c r="C5" i="7" s="1"/>
  <c r="AD42" i="1" s="1"/>
  <c r="AN4" i="7"/>
  <c r="F4" i="7" s="1"/>
  <c r="W4" i="7"/>
  <c r="C4" i="7" s="1"/>
  <c r="AD25" i="1" s="1"/>
  <c r="D4" i="7"/>
  <c r="AE25" i="1" s="1"/>
  <c r="AN3" i="7"/>
  <c r="F3" i="7" s="1"/>
  <c r="W3" i="7"/>
  <c r="C3" i="7" s="1"/>
  <c r="D3" i="7"/>
  <c r="AE40" i="1" s="1"/>
  <c r="W30" i="8"/>
  <c r="C30" i="8" s="1"/>
  <c r="F30" i="8"/>
  <c r="W28" i="8"/>
  <c r="D19" i="8" s="1"/>
  <c r="AG9" i="1" s="1"/>
  <c r="D9" i="1" s="1"/>
  <c r="D27" i="8"/>
  <c r="AG77" i="1" s="1"/>
  <c r="AN27" i="8"/>
  <c r="F27" i="8"/>
  <c r="W27" i="8"/>
  <c r="C27" i="8" s="1"/>
  <c r="AN25" i="8"/>
  <c r="F25" i="8" s="1"/>
  <c r="W25" i="8"/>
  <c r="C25" i="8"/>
  <c r="AF37" i="1" s="1"/>
  <c r="AN24" i="8"/>
  <c r="F24" i="8" s="1"/>
  <c r="W24" i="8"/>
  <c r="C24" i="8" s="1"/>
  <c r="AF52" i="1" s="1"/>
  <c r="AN23" i="8"/>
  <c r="F23" i="8" s="1"/>
  <c r="W23" i="8"/>
  <c r="C23" i="8" s="1"/>
  <c r="D23" i="8"/>
  <c r="AG60" i="1" s="1"/>
  <c r="D60" i="1" s="1"/>
  <c r="AN22" i="8"/>
  <c r="F22" i="8" s="1"/>
  <c r="W22" i="8"/>
  <c r="C22" i="8" s="1"/>
  <c r="AN21" i="8"/>
  <c r="F21" i="8" s="1"/>
  <c r="W21" i="8"/>
  <c r="C21" i="8" s="1"/>
  <c r="AF46" i="1" s="1"/>
  <c r="AN20" i="8"/>
  <c r="F20" i="8" s="1"/>
  <c r="W20" i="8"/>
  <c r="C20" i="8" s="1"/>
  <c r="AF56" i="1" s="1"/>
  <c r="D20" i="8"/>
  <c r="AG56" i="1" s="1"/>
  <c r="D56" i="1" s="1"/>
  <c r="DR24" i="22" s="1"/>
  <c r="AN19" i="8"/>
  <c r="F19" i="8" s="1"/>
  <c r="W19" i="8"/>
  <c r="C19" i="8" s="1"/>
  <c r="AF9" i="1" s="1"/>
  <c r="AN18" i="8"/>
  <c r="F18" i="8" s="1"/>
  <c r="W18" i="8"/>
  <c r="C18" i="8" s="1"/>
  <c r="D18" i="8"/>
  <c r="AG55" i="1" s="1"/>
  <c r="AN17" i="8"/>
  <c r="F17" i="8"/>
  <c r="W17" i="8"/>
  <c r="C17" i="8" s="1"/>
  <c r="D17" i="8"/>
  <c r="AG36" i="1" s="1"/>
  <c r="D36" i="1" s="1"/>
  <c r="AN16" i="8"/>
  <c r="F16" i="8" s="1"/>
  <c r="W16" i="8"/>
  <c r="C16" i="8" s="1"/>
  <c r="AF17" i="1" s="1"/>
  <c r="D16" i="8"/>
  <c r="AG17" i="1" s="1"/>
  <c r="AN15" i="8"/>
  <c r="F15" i="8" s="1"/>
  <c r="W15" i="8"/>
  <c r="C15" i="8" s="1"/>
  <c r="AF49" i="1" s="1"/>
  <c r="D15" i="8"/>
  <c r="AN14" i="8"/>
  <c r="F14" i="8" s="1"/>
  <c r="W14" i="8"/>
  <c r="C14" i="8" s="1"/>
  <c r="D14" i="8"/>
  <c r="AG5" i="1" s="1"/>
  <c r="AN13" i="8"/>
  <c r="F13" i="8"/>
  <c r="W13" i="8"/>
  <c r="C13" i="8" s="1"/>
  <c r="D13" i="8"/>
  <c r="AG40" i="1" s="1"/>
  <c r="AN12" i="8"/>
  <c r="F12" i="8" s="1"/>
  <c r="W12" i="8"/>
  <c r="C12" i="8" s="1"/>
  <c r="AF18" i="1" s="1"/>
  <c r="D12" i="8"/>
  <c r="AG18" i="1" s="1"/>
  <c r="AN11" i="8"/>
  <c r="F11" i="8" s="1"/>
  <c r="W11" i="8"/>
  <c r="C11" i="8" s="1"/>
  <c r="AF22" i="1" s="1"/>
  <c r="AN10" i="8"/>
  <c r="F10" i="8" s="1"/>
  <c r="W10" i="8"/>
  <c r="C10" i="8" s="1"/>
  <c r="D10" i="8"/>
  <c r="AG20" i="1" s="1"/>
  <c r="AN9" i="8"/>
  <c r="F9" i="8"/>
  <c r="W9" i="8"/>
  <c r="C9" i="8" s="1"/>
  <c r="D9" i="8"/>
  <c r="AG54" i="1" s="1"/>
  <c r="AN8" i="8"/>
  <c r="F8" i="8" s="1"/>
  <c r="W8" i="8"/>
  <c r="C8" i="8" s="1"/>
  <c r="AF10" i="1" s="1"/>
  <c r="D8" i="8"/>
  <c r="AG10" i="1" s="1"/>
  <c r="AN7" i="8"/>
  <c r="F7" i="8" s="1"/>
  <c r="W7" i="8"/>
  <c r="C7" i="8" s="1"/>
  <c r="AF31" i="1" s="1"/>
  <c r="D7" i="8"/>
  <c r="AG31" i="1" s="1"/>
  <c r="AN6" i="8"/>
  <c r="F6" i="8" s="1"/>
  <c r="W6" i="8"/>
  <c r="C6" i="8" s="1"/>
  <c r="D6" i="8"/>
  <c r="AG25" i="1" s="1"/>
  <c r="AN5" i="8"/>
  <c r="F5" i="8" s="1"/>
  <c r="W5" i="8"/>
  <c r="C5" i="8" s="1"/>
  <c r="AN4" i="8"/>
  <c r="F4" i="8" s="1"/>
  <c r="W4" i="8"/>
  <c r="C4" i="8"/>
  <c r="AF12" i="1" s="1"/>
  <c r="AN3" i="8"/>
  <c r="F3" i="8" s="1"/>
  <c r="W3" i="8"/>
  <c r="C3" i="8" s="1"/>
  <c r="AF42" i="1" s="1"/>
  <c r="D3" i="8"/>
  <c r="AG42" i="1" s="1"/>
  <c r="N2" i="16" l="1"/>
  <c r="L2" i="16"/>
  <c r="AC5" i="1"/>
  <c r="D5" i="1" s="1"/>
  <c r="AC53" i="1"/>
  <c r="AC55" i="1"/>
  <c r="AC73" i="1"/>
  <c r="AC37" i="1"/>
  <c r="AC23" i="1"/>
  <c r="AC17" i="1"/>
  <c r="D17" i="1" s="1"/>
  <c r="AC39" i="1"/>
  <c r="AC42" i="1"/>
  <c r="AC25" i="1"/>
  <c r="AB33" i="1"/>
  <c r="AB24" i="1"/>
  <c r="AB25" i="1"/>
  <c r="AB13" i="1"/>
  <c r="C13" i="1" s="1"/>
  <c r="AB40" i="1"/>
  <c r="AB54" i="1"/>
  <c r="AB22" i="1"/>
  <c r="C52" i="1"/>
  <c r="E52" i="1" s="1"/>
  <c r="F52" i="1"/>
  <c r="F30" i="1"/>
  <c r="D30" i="1"/>
  <c r="E30" i="1" s="1"/>
  <c r="F9" i="1"/>
  <c r="C9" i="1"/>
  <c r="E9" i="1" s="1"/>
  <c r="F38" i="1"/>
  <c r="C38" i="1"/>
  <c r="E38" i="1" s="1"/>
  <c r="H35" i="12" s="1"/>
  <c r="C11" i="1"/>
  <c r="E11" i="1" s="1"/>
  <c r="H68" i="12" s="1"/>
  <c r="F11" i="1"/>
  <c r="C56" i="1"/>
  <c r="F56" i="1"/>
  <c r="C49" i="1"/>
  <c r="C46" i="1"/>
  <c r="E46" i="1" s="1"/>
  <c r="F46" i="1"/>
  <c r="M2" i="16"/>
  <c r="O2" i="16"/>
  <c r="K2" i="16"/>
  <c r="Q2" i="16"/>
  <c r="C38" i="16"/>
  <c r="AU7" i="12" s="1"/>
  <c r="J2" i="16"/>
  <c r="P2" i="16"/>
  <c r="C33" i="16"/>
  <c r="AU34" i="12" s="1"/>
  <c r="AF47" i="1"/>
  <c r="E22" i="8"/>
  <c r="AD17" i="1"/>
  <c r="E12" i="7"/>
  <c r="E12" i="2"/>
  <c r="T75" i="1"/>
  <c r="T54" i="1"/>
  <c r="E18" i="2"/>
  <c r="E35" i="2"/>
  <c r="U16" i="1"/>
  <c r="Z50" i="1"/>
  <c r="E13" i="5"/>
  <c r="E24" i="2"/>
  <c r="T12" i="1"/>
  <c r="T8" i="1"/>
  <c r="E19" i="2"/>
  <c r="C12" i="16"/>
  <c r="AU41" i="12" s="1"/>
  <c r="C23" i="16"/>
  <c r="AU51" i="12" s="1"/>
  <c r="C41" i="16"/>
  <c r="AU13" i="12" s="1"/>
  <c r="C22" i="16"/>
  <c r="AU17" i="12" s="1"/>
  <c r="C14" i="16"/>
  <c r="AU12" i="12" s="1"/>
  <c r="D30" i="8"/>
  <c r="D4" i="8"/>
  <c r="AG12" i="1" s="1"/>
  <c r="D5" i="8"/>
  <c r="AG50" i="1" s="1"/>
  <c r="D11" i="8"/>
  <c r="AG22" i="1" s="1"/>
  <c r="E30" i="8"/>
  <c r="E7" i="2"/>
  <c r="C9" i="16"/>
  <c r="AU40" i="12" s="1"/>
  <c r="C16" i="16"/>
  <c r="AU25" i="12" s="1"/>
  <c r="C7" i="16"/>
  <c r="AU46" i="12" s="1"/>
  <c r="C54" i="16"/>
  <c r="AU10" i="12" s="1"/>
  <c r="C24" i="16"/>
  <c r="AU5" i="12" s="1"/>
  <c r="C53" i="16"/>
  <c r="AU6" i="12" s="1"/>
  <c r="C18" i="16"/>
  <c r="AU18" i="12" s="1"/>
  <c r="D24" i="4"/>
  <c r="Y42" i="1" s="1"/>
  <c r="C44" i="16"/>
  <c r="AU38" i="12" s="1"/>
  <c r="C30" i="16"/>
  <c r="AU20" i="12" s="1"/>
  <c r="C11" i="16"/>
  <c r="C36" i="16"/>
  <c r="AU14" i="12" s="1"/>
  <c r="C15" i="16"/>
  <c r="AU16" i="12" s="1"/>
  <c r="C17" i="16"/>
  <c r="AU8" i="12" s="1"/>
  <c r="C21" i="16"/>
  <c r="AU30" i="12" s="1"/>
  <c r="C5" i="16"/>
  <c r="AU54" i="12" s="1"/>
  <c r="C20" i="16"/>
  <c r="AU19" i="12" s="1"/>
  <c r="C19" i="16"/>
  <c r="AU15" i="12" s="1"/>
  <c r="C25" i="16"/>
  <c r="AU26" i="12" s="1"/>
  <c r="C32" i="16"/>
  <c r="AU36" i="12" s="1"/>
  <c r="C49" i="16"/>
  <c r="AU23" i="12" s="1"/>
  <c r="AU24" i="12"/>
  <c r="C4" i="16"/>
  <c r="AU9" i="12" s="1"/>
  <c r="C29" i="16"/>
  <c r="AU32" i="12" s="1"/>
  <c r="AB55" i="1"/>
  <c r="T42" i="1"/>
  <c r="E23" i="2"/>
  <c r="Z42" i="1"/>
  <c r="E20" i="5"/>
  <c r="E16" i="2"/>
  <c r="T24" i="1"/>
  <c r="E26" i="2"/>
  <c r="AU48" i="12"/>
  <c r="AU49" i="12"/>
  <c r="AU56" i="12"/>
  <c r="AU65" i="12"/>
  <c r="AU57" i="12"/>
  <c r="AU28" i="12"/>
  <c r="AU59" i="12"/>
  <c r="AU66" i="12"/>
  <c r="E21" i="5"/>
  <c r="AU58" i="12"/>
  <c r="AU52" i="12"/>
  <c r="AU4" i="12"/>
  <c r="AU11" i="12"/>
  <c r="AU50" i="12"/>
  <c r="E25" i="8"/>
  <c r="D3" i="5"/>
  <c r="AA55" i="1" s="1"/>
  <c r="AU47" i="12"/>
  <c r="E15" i="8"/>
  <c r="T18" i="1"/>
  <c r="E9" i="2"/>
  <c r="AU61" i="12"/>
  <c r="AU39" i="12"/>
  <c r="AU68" i="12"/>
  <c r="E22" i="2"/>
  <c r="AU62" i="12"/>
  <c r="AF60" i="1"/>
  <c r="E23" i="8"/>
  <c r="AB21" i="1"/>
  <c r="AB77" i="1"/>
  <c r="AB73" i="1"/>
  <c r="AB23" i="1"/>
  <c r="AF36" i="1"/>
  <c r="E17" i="8"/>
  <c r="AD23" i="1"/>
  <c r="AD31" i="1"/>
  <c r="AB8" i="1"/>
  <c r="AB39" i="1"/>
  <c r="Z18" i="1"/>
  <c r="AD8" i="1"/>
  <c r="E11" i="7"/>
  <c r="AD22" i="1"/>
  <c r="E18" i="7"/>
  <c r="AB12" i="1"/>
  <c r="Z17" i="1"/>
  <c r="E24" i="5"/>
  <c r="AD24" i="1"/>
  <c r="AB37" i="1"/>
  <c r="E26" i="5"/>
  <c r="Z45" i="1"/>
  <c r="AF50" i="1"/>
  <c r="E5" i="8"/>
  <c r="AD40" i="1"/>
  <c r="E3" i="7"/>
  <c r="AB6" i="1"/>
  <c r="AF25" i="1"/>
  <c r="E6" i="8"/>
  <c r="AF20" i="1"/>
  <c r="E10" i="8"/>
  <c r="AF5" i="1"/>
  <c r="E14" i="8"/>
  <c r="E18" i="8"/>
  <c r="AF55" i="1"/>
  <c r="AD50" i="1"/>
  <c r="E10" i="7"/>
  <c r="AE77" i="1"/>
  <c r="E21" i="7"/>
  <c r="AB45" i="1"/>
  <c r="AB44" i="1"/>
  <c r="AB31" i="1"/>
  <c r="AF40" i="1"/>
  <c r="E13" i="8"/>
  <c r="AF77" i="1"/>
  <c r="E27" i="8"/>
  <c r="AD37" i="1"/>
  <c r="AD10" i="1"/>
  <c r="C10" i="1" s="1"/>
  <c r="E19" i="7"/>
  <c r="AB14" i="1"/>
  <c r="AF54" i="1"/>
  <c r="E9" i="8"/>
  <c r="AB18" i="1"/>
  <c r="AB5" i="1"/>
  <c r="C5" i="1" s="1"/>
  <c r="Z55" i="1"/>
  <c r="E3" i="5"/>
  <c r="E10" i="2"/>
  <c r="T15" i="1"/>
  <c r="Z6" i="1"/>
  <c r="E25" i="5"/>
  <c r="X19" i="1"/>
  <c r="E12" i="4"/>
  <c r="X6" i="1"/>
  <c r="V20" i="1"/>
  <c r="V15" i="1"/>
  <c r="D13" i="3"/>
  <c r="W40" i="1" s="1"/>
  <c r="D5" i="3"/>
  <c r="W54" i="1" s="1"/>
  <c r="D18" i="3"/>
  <c r="D7" i="3"/>
  <c r="D17" i="3"/>
  <c r="W8" i="1" s="1"/>
  <c r="D25" i="3"/>
  <c r="D3" i="3"/>
  <c r="D8" i="3"/>
  <c r="W55" i="1" s="1"/>
  <c r="D21" i="3"/>
  <c r="D10" i="3"/>
  <c r="W24" i="1" s="1"/>
  <c r="D20" i="3"/>
  <c r="D30" i="3"/>
  <c r="E30" i="3" s="1"/>
  <c r="D19" i="3"/>
  <c r="D11" i="3"/>
  <c r="W42" i="1" s="1"/>
  <c r="D24" i="3"/>
  <c r="W6" i="1" s="1"/>
  <c r="D12" i="3"/>
  <c r="W12" i="1" s="1"/>
  <c r="D23" i="3"/>
  <c r="W15" i="1" s="1"/>
  <c r="D16" i="3"/>
  <c r="AG49" i="1"/>
  <c r="D49" i="1" s="1"/>
  <c r="T55" i="1"/>
  <c r="E4" i="2"/>
  <c r="T23" i="1"/>
  <c r="E15" i="2"/>
  <c r="E30" i="2"/>
  <c r="T67" i="1"/>
  <c r="AU63" i="12"/>
  <c r="Z21" i="1"/>
  <c r="E19" i="5"/>
  <c r="D14" i="3"/>
  <c r="W19" i="1" s="1"/>
  <c r="D6" i="3"/>
  <c r="W21" i="1" s="1"/>
  <c r="D9" i="3"/>
  <c r="W18" i="1" s="1"/>
  <c r="T20" i="1"/>
  <c r="E6" i="2"/>
  <c r="T50" i="1"/>
  <c r="E13" i="2"/>
  <c r="E4" i="5"/>
  <c r="Z53" i="1"/>
  <c r="E17" i="7"/>
  <c r="E9" i="7"/>
  <c r="D8" i="7"/>
  <c r="AE37" i="1" s="1"/>
  <c r="D16" i="7"/>
  <c r="AE31" i="1" s="1"/>
  <c r="D22" i="5"/>
  <c r="D14" i="5"/>
  <c r="AA40" i="1" s="1"/>
  <c r="D6" i="5"/>
  <c r="D17" i="5"/>
  <c r="D9" i="5"/>
  <c r="AA12" i="1" s="1"/>
  <c r="D31" i="5"/>
  <c r="E31" i="5" s="1"/>
  <c r="D23" i="5"/>
  <c r="D15" i="5"/>
  <c r="D16" i="5"/>
  <c r="AA10" i="1" s="1"/>
  <c r="D10" i="1" s="1"/>
  <c r="D8" i="5"/>
  <c r="AA18" i="1" s="1"/>
  <c r="X31" i="1"/>
  <c r="E8" i="4"/>
  <c r="X42" i="1"/>
  <c r="E24" i="4"/>
  <c r="V21" i="1"/>
  <c r="E17" i="3"/>
  <c r="V8" i="1"/>
  <c r="V6" i="1"/>
  <c r="E24" i="3"/>
  <c r="T33" i="1"/>
  <c r="E11" i="2"/>
  <c r="T77" i="1"/>
  <c r="E32" i="2"/>
  <c r="E19" i="8"/>
  <c r="E21" i="8"/>
  <c r="E24" i="8"/>
  <c r="D5" i="7"/>
  <c r="D13" i="7"/>
  <c r="D24" i="7"/>
  <c r="E24" i="7" s="1"/>
  <c r="E5" i="5"/>
  <c r="E16" i="5"/>
  <c r="X21" i="1"/>
  <c r="E4" i="4"/>
  <c r="D25" i="4"/>
  <c r="Y20" i="1" s="1"/>
  <c r="D21" i="4"/>
  <c r="Y40" i="1" s="1"/>
  <c r="D17" i="4"/>
  <c r="Y6" i="1" s="1"/>
  <c r="D13" i="4"/>
  <c r="Y69" i="1" s="1"/>
  <c r="D9" i="4"/>
  <c r="Y12" i="1" s="1"/>
  <c r="D5" i="4"/>
  <c r="Y50" i="1" s="1"/>
  <c r="D27" i="4"/>
  <c r="D22" i="4"/>
  <c r="D18" i="4"/>
  <c r="D14" i="4"/>
  <c r="D10" i="4"/>
  <c r="D6" i="4"/>
  <c r="D30" i="4"/>
  <c r="E30" i="4" s="1"/>
  <c r="D23" i="4"/>
  <c r="Y18" i="1" s="1"/>
  <c r="D19" i="4"/>
  <c r="D15" i="4"/>
  <c r="D11" i="4"/>
  <c r="D7" i="4"/>
  <c r="Y73" i="1" s="1"/>
  <c r="D4" i="3"/>
  <c r="W37" i="1" s="1"/>
  <c r="X73" i="1"/>
  <c r="E28" i="2"/>
  <c r="U37" i="1"/>
  <c r="E21" i="2"/>
  <c r="T34" i="1"/>
  <c r="T53" i="1"/>
  <c r="E25" i="2"/>
  <c r="T25" i="1"/>
  <c r="E27" i="2"/>
  <c r="D35" i="2"/>
  <c r="E29" i="2"/>
  <c r="C35" i="2" s="1"/>
  <c r="T16" i="1"/>
  <c r="C16" i="1" s="1"/>
  <c r="AI41" i="12" s="1"/>
  <c r="E7" i="8"/>
  <c r="X12" i="1"/>
  <c r="X26" i="1"/>
  <c r="E20" i="4"/>
  <c r="X20" i="1"/>
  <c r="V19" i="1"/>
  <c r="E14" i="3"/>
  <c r="T26" i="1"/>
  <c r="E3" i="2"/>
  <c r="E3" i="8"/>
  <c r="E14" i="7"/>
  <c r="E6" i="7"/>
  <c r="D7" i="7"/>
  <c r="AE23" i="1" s="1"/>
  <c r="D15" i="7"/>
  <c r="AE24" i="1" s="1"/>
  <c r="E28" i="5"/>
  <c r="E12" i="5"/>
  <c r="E7" i="5"/>
  <c r="Z39" i="1"/>
  <c r="D3" i="4"/>
  <c r="Y39" i="1" s="1"/>
  <c r="X50" i="1"/>
  <c r="D16" i="4"/>
  <c r="Y23" i="1" s="1"/>
  <c r="D15" i="3"/>
  <c r="W20" i="1" s="1"/>
  <c r="V37" i="1"/>
  <c r="D22" i="3"/>
  <c r="W39" i="1" s="1"/>
  <c r="E4" i="7"/>
  <c r="T73" i="1"/>
  <c r="E17" i="2"/>
  <c r="E11" i="8"/>
  <c r="E4" i="8"/>
  <c r="E8" i="8"/>
  <c r="E12" i="8"/>
  <c r="E16" i="8"/>
  <c r="E20" i="8"/>
  <c r="E10" i="5"/>
  <c r="E3" i="4"/>
  <c r="X23" i="1"/>
  <c r="E21" i="4"/>
  <c r="X40" i="1"/>
  <c r="E8" i="3"/>
  <c r="E5" i="3"/>
  <c r="V42" i="1"/>
  <c r="E11" i="3"/>
  <c r="E27" i="3"/>
  <c r="V77" i="1"/>
  <c r="X69" i="1"/>
  <c r="E8" i="2"/>
  <c r="E5" i="2"/>
  <c r="T39" i="1"/>
  <c r="AU22" i="12"/>
  <c r="E9" i="3"/>
  <c r="H71" i="12"/>
  <c r="D32" i="12"/>
  <c r="H40" i="12"/>
  <c r="H61" i="12"/>
  <c r="D69" i="12"/>
  <c r="H41" i="12"/>
  <c r="D33" i="12"/>
  <c r="H50" i="12"/>
  <c r="D34" i="12"/>
  <c r="H21" i="12"/>
  <c r="D62" i="12"/>
  <c r="D75" i="12"/>
  <c r="D30" i="12"/>
  <c r="H6" i="12"/>
  <c r="E56" i="1" l="1"/>
  <c r="H67" i="12" s="1"/>
  <c r="DP24" i="22"/>
  <c r="DO24" i="22" s="1"/>
  <c r="AC21" i="1"/>
  <c r="D21" i="1" s="1"/>
  <c r="AC44" i="1"/>
  <c r="D44" i="1" s="1"/>
  <c r="AC31" i="1"/>
  <c r="AC14" i="1"/>
  <c r="D14" i="1" s="1"/>
  <c r="AC8" i="1"/>
  <c r="AC24" i="1"/>
  <c r="AC20" i="1"/>
  <c r="D20" i="1" s="1"/>
  <c r="AC6" i="1"/>
  <c r="AC12" i="1"/>
  <c r="AC18" i="1"/>
  <c r="D18" i="1" s="1"/>
  <c r="AC19" i="1"/>
  <c r="D19" i="1" s="1"/>
  <c r="AK15" i="12" s="1"/>
  <c r="AC22" i="1"/>
  <c r="D22" i="1" s="1"/>
  <c r="AC77" i="1"/>
  <c r="AB53" i="1"/>
  <c r="C53" i="1" s="1"/>
  <c r="AC54" i="1"/>
  <c r="C25" i="1"/>
  <c r="AC45" i="1"/>
  <c r="D45" i="1" s="1"/>
  <c r="AC40" i="1"/>
  <c r="F40" i="1" s="1"/>
  <c r="AB17" i="1"/>
  <c r="C17" i="1" s="1"/>
  <c r="E17" i="1" s="1"/>
  <c r="AB42" i="1"/>
  <c r="C42" i="1" s="1"/>
  <c r="BN4" i="22" s="1"/>
  <c r="AB19" i="1"/>
  <c r="C19" i="1" s="1"/>
  <c r="C37" i="1"/>
  <c r="AB20" i="1"/>
  <c r="C20" i="1" s="1"/>
  <c r="AB50" i="1"/>
  <c r="C50" i="1" s="1"/>
  <c r="E4" i="22" s="1"/>
  <c r="D39" i="1"/>
  <c r="AX4" i="22" s="1"/>
  <c r="D6" i="1"/>
  <c r="C39" i="1"/>
  <c r="AV4" i="22" s="1"/>
  <c r="AU4" i="22" s="1"/>
  <c r="F5" i="1"/>
  <c r="C21" i="1"/>
  <c r="C18" i="1"/>
  <c r="D37" i="1"/>
  <c r="AO4" i="22" s="1"/>
  <c r="C40" i="1"/>
  <c r="BE4" i="22" s="1"/>
  <c r="C24" i="1"/>
  <c r="C8" i="1"/>
  <c r="D13" i="12" s="1"/>
  <c r="C12" i="1"/>
  <c r="C22" i="1"/>
  <c r="C69" i="1"/>
  <c r="D49" i="12" s="1"/>
  <c r="C34" i="1"/>
  <c r="C26" i="1"/>
  <c r="F67" i="1"/>
  <c r="C67" i="1"/>
  <c r="E67" i="1" s="1"/>
  <c r="H72" i="12" s="1"/>
  <c r="C15" i="1"/>
  <c r="F39" i="1"/>
  <c r="E49" i="1"/>
  <c r="H14" i="12" s="1"/>
  <c r="F37" i="1"/>
  <c r="C33" i="1"/>
  <c r="D28" i="12" s="1"/>
  <c r="C47" i="1"/>
  <c r="E47" i="1" s="1"/>
  <c r="H58" i="12" s="1"/>
  <c r="F47" i="1"/>
  <c r="C31" i="1"/>
  <c r="D29" i="12" s="1"/>
  <c r="F16" i="1"/>
  <c r="D16" i="1"/>
  <c r="F49" i="1"/>
  <c r="C23" i="1"/>
  <c r="C44" i="1"/>
  <c r="C6" i="1"/>
  <c r="F6" i="1"/>
  <c r="E10" i="1"/>
  <c r="H56" i="12" s="1"/>
  <c r="F60" i="1"/>
  <c r="C60" i="1"/>
  <c r="E60" i="1" s="1"/>
  <c r="H76" i="12" s="1"/>
  <c r="C73" i="1"/>
  <c r="C55" i="1"/>
  <c r="C54" i="1"/>
  <c r="C36" i="1"/>
  <c r="E36" i="1" s="1"/>
  <c r="F36" i="1"/>
  <c r="C75" i="1"/>
  <c r="E75" i="1" s="1"/>
  <c r="H60" i="12" s="1"/>
  <c r="F75" i="1"/>
  <c r="F10" i="1"/>
  <c r="C77" i="1"/>
  <c r="C45" i="1"/>
  <c r="F14" i="1"/>
  <c r="C14" i="1"/>
  <c r="E5" i="4"/>
  <c r="E22" i="3"/>
  <c r="AH7" i="12"/>
  <c r="E10" i="3"/>
  <c r="E16" i="7"/>
  <c r="E15" i="7"/>
  <c r="E4" i="3"/>
  <c r="E13" i="3"/>
  <c r="E23" i="3"/>
  <c r="E12" i="3"/>
  <c r="E23" i="4"/>
  <c r="E25" i="4"/>
  <c r="E9" i="5"/>
  <c r="D64" i="12"/>
  <c r="D61" i="12"/>
  <c r="D31" i="12"/>
  <c r="Y8" i="1"/>
  <c r="E6" i="4"/>
  <c r="E25" i="3"/>
  <c r="W33" i="1"/>
  <c r="AA69" i="1"/>
  <c r="F69" i="1" s="1"/>
  <c r="E23" i="5"/>
  <c r="E10" i="4"/>
  <c r="Y54" i="1"/>
  <c r="AC50" i="1"/>
  <c r="E13" i="4"/>
  <c r="W53" i="1"/>
  <c r="E19" i="3"/>
  <c r="E15" i="3"/>
  <c r="E8" i="7"/>
  <c r="E8" i="5"/>
  <c r="E7" i="7"/>
  <c r="D74" i="12"/>
  <c r="E14" i="4"/>
  <c r="Y24" i="1"/>
  <c r="AC13" i="1"/>
  <c r="AA31" i="1"/>
  <c r="D31" i="1" s="1"/>
  <c r="E17" i="5"/>
  <c r="E7" i="3"/>
  <c r="W73" i="1"/>
  <c r="D73" i="1" s="1"/>
  <c r="HM4" i="22" s="1"/>
  <c r="E16" i="4"/>
  <c r="E9" i="4"/>
  <c r="Y53" i="1"/>
  <c r="E11" i="4"/>
  <c r="E18" i="4"/>
  <c r="Y55" i="1"/>
  <c r="D55" i="1" s="1"/>
  <c r="CZ4" i="22" s="1"/>
  <c r="AA15" i="1"/>
  <c r="E6" i="5"/>
  <c r="W23" i="1"/>
  <c r="D23" i="1" s="1"/>
  <c r="E20" i="3"/>
  <c r="E18" i="3"/>
  <c r="W34" i="1"/>
  <c r="E17" i="4"/>
  <c r="Y33" i="1"/>
  <c r="E15" i="4"/>
  <c r="E22" i="4"/>
  <c r="Y25" i="1"/>
  <c r="E6" i="3"/>
  <c r="W50" i="1"/>
  <c r="E16" i="3"/>
  <c r="E7" i="4"/>
  <c r="AE42" i="1"/>
  <c r="D42" i="1" s="1"/>
  <c r="BP4" i="22" s="1"/>
  <c r="E5" i="7"/>
  <c r="E3" i="3"/>
  <c r="W25" i="1"/>
  <c r="E14" i="5"/>
  <c r="Y15" i="1"/>
  <c r="E19" i="4"/>
  <c r="E27" i="4"/>
  <c r="Y77" i="1"/>
  <c r="AA25" i="1"/>
  <c r="E22" i="5"/>
  <c r="W26" i="1"/>
  <c r="D26" i="1" s="1"/>
  <c r="E21" i="3"/>
  <c r="AE12" i="1"/>
  <c r="E13" i="7"/>
  <c r="AA24" i="1"/>
  <c r="E15" i="5"/>
  <c r="H57" i="12"/>
  <c r="D66" i="12"/>
  <c r="D58" i="12"/>
  <c r="D44" i="12"/>
  <c r="D70" i="12"/>
  <c r="D56" i="12"/>
  <c r="H51" i="12"/>
  <c r="D48" i="12"/>
  <c r="H11" i="12"/>
  <c r="H45" i="12"/>
  <c r="D20" i="12" l="1"/>
  <c r="AM4" i="22"/>
  <c r="AL4" i="22" s="1"/>
  <c r="BM4" i="22"/>
  <c r="D17" i="12"/>
  <c r="CO4" i="22"/>
  <c r="D21" i="12"/>
  <c r="HK4" i="22"/>
  <c r="HJ4" i="22" s="1"/>
  <c r="D4" i="12"/>
  <c r="CF4" i="22"/>
  <c r="D8" i="12"/>
  <c r="CX4" i="22"/>
  <c r="CW4" i="22" s="1"/>
  <c r="D67" i="12"/>
  <c r="D8" i="1"/>
  <c r="E8" i="1" s="1"/>
  <c r="E14" i="1"/>
  <c r="H38" i="12" s="1"/>
  <c r="F21" i="1"/>
  <c r="F44" i="1"/>
  <c r="E44" i="1"/>
  <c r="H24" i="12" s="1"/>
  <c r="F18" i="1"/>
  <c r="D12" i="1"/>
  <c r="E12" i="1" s="1"/>
  <c r="H17" i="12" s="1"/>
  <c r="F22" i="1"/>
  <c r="F54" i="1"/>
  <c r="D77" i="1"/>
  <c r="E77" i="1" s="1"/>
  <c r="H27" i="12" s="1"/>
  <c r="E37" i="1"/>
  <c r="H47" i="12" s="1"/>
  <c r="F45" i="1"/>
  <c r="E45" i="1"/>
  <c r="H65" i="12" s="1"/>
  <c r="F20" i="1"/>
  <c r="F19" i="1"/>
  <c r="F17" i="1"/>
  <c r="D40" i="1"/>
  <c r="E22" i="1"/>
  <c r="H48" i="12" s="1"/>
  <c r="E21" i="1"/>
  <c r="H44" i="12" s="1"/>
  <c r="E6" i="1"/>
  <c r="H64" i="12" s="1"/>
  <c r="F53" i="1"/>
  <c r="F24" i="1"/>
  <c r="D15" i="1"/>
  <c r="E15" i="1" s="1"/>
  <c r="H20" i="12" s="1"/>
  <c r="E20" i="1"/>
  <c r="H29" i="12" s="1"/>
  <c r="E18" i="1"/>
  <c r="H18" i="12" s="1"/>
  <c r="E39" i="1"/>
  <c r="H13" i="12" s="1"/>
  <c r="D14" i="12"/>
  <c r="D40" i="12"/>
  <c r="E16" i="1"/>
  <c r="H19" i="12" s="1"/>
  <c r="AK41" i="12"/>
  <c r="AH41" i="12" s="1"/>
  <c r="E19" i="1"/>
  <c r="H12" i="12" s="1"/>
  <c r="AI15" i="12"/>
  <c r="AH15" i="12" s="1"/>
  <c r="D18" i="12"/>
  <c r="F23" i="1"/>
  <c r="E23" i="1"/>
  <c r="H22" i="12" s="1"/>
  <c r="D69" i="1"/>
  <c r="E69" i="1" s="1"/>
  <c r="H59" i="12" s="1"/>
  <c r="D50" i="12"/>
  <c r="D10" i="12"/>
  <c r="D24" i="1"/>
  <c r="D39" i="12"/>
  <c r="D33" i="1"/>
  <c r="E33" i="1" s="1"/>
  <c r="H54" i="12" s="1"/>
  <c r="F8" i="1"/>
  <c r="D50" i="1"/>
  <c r="G4" i="22" s="1"/>
  <c r="D4" i="22" s="1"/>
  <c r="D15" i="12"/>
  <c r="E42" i="1"/>
  <c r="F55" i="1"/>
  <c r="F12" i="1"/>
  <c r="E55" i="1"/>
  <c r="H28" i="12" s="1"/>
  <c r="D53" i="1"/>
  <c r="F73" i="1"/>
  <c r="E73" i="1"/>
  <c r="H9" i="12" s="1"/>
  <c r="F26" i="1"/>
  <c r="F50" i="1"/>
  <c r="E26" i="1"/>
  <c r="H36" i="12" s="1"/>
  <c r="D34" i="1"/>
  <c r="AK40" i="12" s="1"/>
  <c r="F31" i="1"/>
  <c r="F42" i="1"/>
  <c r="E31" i="1"/>
  <c r="H53" i="12" s="1"/>
  <c r="F34" i="1"/>
  <c r="D13" i="1"/>
  <c r="E13" i="1" s="1"/>
  <c r="H46" i="12" s="1"/>
  <c r="F13" i="1"/>
  <c r="F77" i="1"/>
  <c r="D25" i="1"/>
  <c r="E25" i="1" s="1"/>
  <c r="D5" i="12"/>
  <c r="F33" i="1"/>
  <c r="F15" i="1"/>
  <c r="F25" i="1"/>
  <c r="D54" i="1"/>
  <c r="E54" i="1" s="1"/>
  <c r="H16" i="12" s="1"/>
  <c r="D63" i="12"/>
  <c r="D6" i="12"/>
  <c r="D26" i="12"/>
  <c r="AI40" i="12"/>
  <c r="D25" i="12"/>
  <c r="AH28" i="12"/>
  <c r="E5" i="1"/>
  <c r="H31" i="12" s="1"/>
  <c r="AH8" i="12"/>
  <c r="AH12" i="12"/>
  <c r="D7" i="12"/>
  <c r="D12" i="12"/>
  <c r="AH6" i="12"/>
  <c r="D11" i="12"/>
  <c r="AH9" i="12"/>
  <c r="D72" i="12"/>
  <c r="D19" i="12"/>
  <c r="D54" i="12"/>
  <c r="D16" i="12"/>
  <c r="D36" i="12"/>
  <c r="D9" i="12"/>
  <c r="D23" i="12"/>
  <c r="D22" i="12"/>
  <c r="D65" i="12"/>
  <c r="D27" i="12"/>
  <c r="D24" i="12"/>
  <c r="H62" i="12"/>
  <c r="H30" i="12"/>
  <c r="D57" i="12"/>
  <c r="D59" i="12"/>
  <c r="D38" i="12"/>
  <c r="E40" i="1" l="1"/>
  <c r="H34" i="12" s="1"/>
  <c r="BG4" i="22"/>
  <c r="BD4" i="22" s="1"/>
  <c r="E50" i="1"/>
  <c r="H15" i="12" s="1"/>
  <c r="CH4" i="22"/>
  <c r="CE4" i="22" s="1"/>
  <c r="E53" i="1"/>
  <c r="H25" i="12" s="1"/>
  <c r="CQ4" i="22"/>
  <c r="CN4" i="22" s="1"/>
  <c r="E24" i="1"/>
  <c r="H37" i="12" s="1"/>
  <c r="AH14" i="12"/>
  <c r="E34" i="1"/>
  <c r="H33" i="12" s="1"/>
  <c r="AH40" i="12"/>
  <c r="H26" i="12"/>
  <c r="AH10" i="12"/>
  <c r="H32" i="12"/>
  <c r="AH11" i="12"/>
  <c r="H39" i="12"/>
  <c r="AH13" i="12"/>
  <c r="HH15" i="22"/>
  <c r="AU16" i="22"/>
</calcChain>
</file>

<file path=xl/sharedStrings.xml><?xml version="1.0" encoding="utf-8"?>
<sst xmlns="http://schemas.openxmlformats.org/spreadsheetml/2006/main" count="4686" uniqueCount="393">
  <si>
    <t>Name</t>
  </si>
  <si>
    <t>Correct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</si>
  <si>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</si>
  <si>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</si>
  <si>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</si>
  <si>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</si>
  <si>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</si>
  <si>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</si>
  <si>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</si>
  <si>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</si>
  <si>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</si>
  <si>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</si>
  <si>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</si>
  <si>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</si>
  <si>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</si>
  <si>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</si>
  <si>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</si>
  <si>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</si>
  <si>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</si>
  <si>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</si>
  <si>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Bowls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</si>
  <si>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</si>
  <si>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</si>
  <si>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</si>
  <si>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</si>
  <si>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</si>
  <si>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</si>
  <si>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</si>
  <si>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</si>
  <si>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</si>
  <si>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</si>
  <si>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</si>
  <si>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</si>
  <si>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</si>
  <si>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</si>
  <si>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</si>
  <si>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Greenwood, Douglas</t>
  </si>
  <si>
    <t>Young, Michael</t>
  </si>
  <si>
    <t>Mackey, Doyle</t>
  </si>
  <si>
    <t>Seamands, Jorden</t>
  </si>
  <si>
    <t>Meyer, Pat</t>
  </si>
  <si>
    <t>Manuel, Greg</t>
  </si>
  <si>
    <t>Meyer, Dave</t>
  </si>
  <si>
    <t>Curran, Taylor</t>
  </si>
  <si>
    <t>Fortner, Glenn</t>
  </si>
  <si>
    <t>Seamands, Byron</t>
  </si>
  <si>
    <t>Scoville, Jordan</t>
  </si>
  <si>
    <t>Easley, Jordan</t>
  </si>
  <si>
    <t>Roberts, Jeff</t>
  </si>
  <si>
    <t>Meyer, Brennan</t>
  </si>
  <si>
    <t>Bradley, Ken</t>
  </si>
  <si>
    <t>Baze, Drew</t>
  </si>
  <si>
    <t>Fortner, Jason</t>
  </si>
  <si>
    <t>Alsobrook, Luke</t>
  </si>
  <si>
    <t>Vance, Jeremy</t>
  </si>
  <si>
    <t>Curran, Kevin</t>
  </si>
  <si>
    <t>Miller, Chris</t>
  </si>
  <si>
    <t>Honeycutt, Terry</t>
  </si>
  <si>
    <t>Strain, Billy</t>
  </si>
  <si>
    <t>Clarke, Benjamin</t>
  </si>
  <si>
    <t>Fortner, Mara</t>
  </si>
  <si>
    <t>Folmar, James</t>
  </si>
  <si>
    <t>Meyer, Austen</t>
  </si>
  <si>
    <t>-</t>
  </si>
  <si>
    <t>Line</t>
  </si>
  <si>
    <t>2015 College</t>
  </si>
  <si>
    <t>Howard, Bill</t>
  </si>
  <si>
    <t>Beene, Virgil</t>
  </si>
  <si>
    <t>Fortner, Eric</t>
  </si>
  <si>
    <t>Rapisand, Ryan</t>
  </si>
  <si>
    <t>Curran, Haley</t>
  </si>
  <si>
    <t>McMullen, Dan</t>
  </si>
  <si>
    <t>Beene, Jordan</t>
  </si>
  <si>
    <t>2016 College</t>
  </si>
  <si>
    <t>2017 College</t>
  </si>
  <si>
    <t>Bradley, Mason</t>
  </si>
  <si>
    <t>Pearce, Matt</t>
  </si>
  <si>
    <t>Pearce, Andrew</t>
  </si>
  <si>
    <t>Alvarez, Justin</t>
  </si>
  <si>
    <t>Brown, Brandel</t>
  </si>
  <si>
    <t>2018 College</t>
  </si>
  <si>
    <t>Bradley, Eden</t>
  </si>
  <si>
    <t>Swindell, Richard</t>
  </si>
  <si>
    <t>2019 College</t>
  </si>
  <si>
    <t>2020 College</t>
  </si>
  <si>
    <t>16, 7-6-3</t>
  </si>
  <si>
    <t>16, 6-7-3</t>
  </si>
  <si>
    <t>2021 Correct</t>
  </si>
  <si>
    <t>2021 Total</t>
  </si>
  <si>
    <t>College All-Time</t>
  </si>
  <si>
    <t>2020 Correct</t>
  </si>
  <si>
    <t>2020 Total</t>
  </si>
  <si>
    <t>2019 Correct</t>
  </si>
  <si>
    <t>2019 Total</t>
  </si>
  <si>
    <t>2018 Correct</t>
  </si>
  <si>
    <t>2018 Total</t>
  </si>
  <si>
    <t>2017 Correct</t>
  </si>
  <si>
    <t>2017 Total</t>
  </si>
  <si>
    <t>2016 Correct</t>
  </si>
  <si>
    <t>2016 Total</t>
  </si>
  <si>
    <t>2015 Correct</t>
  </si>
  <si>
    <t>2015 Total</t>
  </si>
  <si>
    <t>Prothro, John</t>
  </si>
  <si>
    <t>Prothro, Tom</t>
  </si>
  <si>
    <t>Skipper, Steve</t>
  </si>
  <si>
    <t>Robertson, Josh</t>
  </si>
  <si>
    <t>FPL College</t>
  </si>
  <si>
    <t>S#</t>
  </si>
  <si>
    <t>ATC</t>
  </si>
  <si>
    <t>AT%</t>
  </si>
  <si>
    <t>All-Time %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</si>
  <si>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</si>
  <si>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</si>
  <si>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</si>
  <si>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</si>
  <si>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</si>
  <si>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</si>
  <si>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</si>
  <si>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</si>
  <si>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</si>
  <si>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</si>
  <si>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</si>
  <si>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</si>
  <si>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</si>
  <si>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</si>
  <si>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</si>
  <si>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</si>
  <si>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</si>
  <si>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</si>
  <si>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</si>
  <si>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</si>
  <si>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</si>
  <si>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</si>
  <si>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</si>
  <si>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</si>
  <si>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</si>
  <si>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</si>
  <si>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</si>
  <si>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</si>
  <si>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</si>
  <si>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</si>
  <si>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</si>
  <si>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</si>
  <si>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</si>
  <si>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</si>
  <si>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</si>
  <si>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</si>
  <si>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</si>
  <si>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</si>
  <si>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</si>
  <si>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</si>
  <si>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</si>
  <si>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</si>
  <si>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</si>
  <si>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</si>
  <si>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46th</t>
  </si>
  <si>
    <t>47th</t>
  </si>
  <si>
    <t>All-Time Correct</t>
  </si>
  <si>
    <t>Years</t>
  </si>
  <si>
    <t>#Yrs</t>
  </si>
  <si>
    <t>Streak Alive?</t>
  </si>
  <si>
    <t>No</t>
  </si>
  <si>
    <t>Yes</t>
  </si>
  <si>
    <t>Year</t>
  </si>
  <si>
    <t>50%+ Consecutive Years</t>
  </si>
  <si>
    <t>1-T</t>
  </si>
  <si>
    <t>4-T</t>
  </si>
  <si>
    <t>(2017-2019)</t>
  </si>
  <si>
    <t>(2015-2017)</t>
  </si>
  <si>
    <t>(2019-2020)</t>
  </si>
  <si>
    <t>(2015-2016)</t>
  </si>
  <si>
    <t>(2017-2018)</t>
  </si>
  <si>
    <t>1st-T</t>
  </si>
  <si>
    <t>4th-T</t>
  </si>
  <si>
    <t>(2016-2017; 2019)</t>
  </si>
  <si>
    <t>/</t>
  </si>
  <si>
    <t>Best Yearly Percentage : (Top 25)</t>
  </si>
  <si>
    <t>2021 Non-Yearly</t>
  </si>
  <si>
    <t>1000+ All-Time Correct</t>
  </si>
  <si>
    <t>All-Time Correct Milestones</t>
  </si>
  <si>
    <t>(Week 10 - 2021)</t>
  </si>
  <si>
    <t>(Week 11 - 2021)</t>
  </si>
  <si>
    <t>(Week 12 - 2021)</t>
  </si>
  <si>
    <t>(Week 13 - 2021)</t>
  </si>
  <si>
    <t>2021 College</t>
  </si>
  <si>
    <t>16.5, 7-6-2</t>
  </si>
  <si>
    <t>16.5, 6-7-2</t>
  </si>
  <si>
    <t>(2020-2021)</t>
  </si>
  <si>
    <t>2022 Correct</t>
  </si>
  <si>
    <t>2022 Total</t>
  </si>
  <si>
    <t>Zorn, Chad</t>
  </si>
  <si>
    <t>Greenwood, Nathan</t>
  </si>
  <si>
    <t>Middleton, Jason</t>
  </si>
  <si>
    <t>Ross, Jeff</t>
  </si>
  <si>
    <t>Simba, Julio</t>
  </si>
  <si>
    <t>Harper, Kenneth</t>
  </si>
  <si>
    <t>Smith, Brad</t>
  </si>
  <si>
    <t>2022 Non-Yearly</t>
  </si>
  <si>
    <t>Sloan, Kenneth</t>
  </si>
  <si>
    <t>48th</t>
  </si>
  <si>
    <t>49th</t>
  </si>
  <si>
    <t>52nd</t>
  </si>
  <si>
    <t>53rd</t>
  </si>
  <si>
    <t>54th</t>
  </si>
  <si>
    <t>55th</t>
  </si>
  <si>
    <t>Weekly Wins</t>
  </si>
  <si>
    <t>Most Weekly Wins in a Year</t>
  </si>
  <si>
    <t>WW</t>
  </si>
  <si>
    <t>2022 College</t>
  </si>
  <si>
    <t>(2021-2022)</t>
  </si>
  <si>
    <t>2023 Correct</t>
  </si>
  <si>
    <t>2023 Total</t>
  </si>
  <si>
    <t>Hamilton, Hunter</t>
  </si>
  <si>
    <t>Trant, Amon</t>
  </si>
  <si>
    <t>Smith, Shawn</t>
  </si>
  <si>
    <t>Olmos, Donny</t>
  </si>
  <si>
    <t>Smith, Payton</t>
  </si>
  <si>
    <t>56th</t>
  </si>
  <si>
    <t>57th</t>
  </si>
  <si>
    <t>58th</t>
  </si>
  <si>
    <t>59th</t>
  </si>
  <si>
    <t>60th</t>
  </si>
  <si>
    <t>(Week 1 - 2023)</t>
  </si>
  <si>
    <t>Cor.</t>
  </si>
  <si>
    <t>Seamands, Natalie</t>
  </si>
  <si>
    <t>61st</t>
  </si>
  <si>
    <t>All-Time Weekly Wins</t>
  </si>
  <si>
    <t>(Week 11 - 2023)</t>
  </si>
  <si>
    <t>(Week 12 - 2023)</t>
  </si>
  <si>
    <t>2023 College</t>
  </si>
  <si>
    <t>15, 7-5-3</t>
  </si>
  <si>
    <t>15, 5-7-3</t>
  </si>
  <si>
    <t>(Bowl Games - 2023)</t>
  </si>
  <si>
    <t>(2021-2023)</t>
  </si>
  <si>
    <t>8th-T</t>
  </si>
  <si>
    <t>2024 Correct</t>
  </si>
  <si>
    <t>2024 Total</t>
  </si>
  <si>
    <t>Strang, Spencer</t>
  </si>
  <si>
    <t>Kraus, Will</t>
  </si>
  <si>
    <t>Williams, Reilee</t>
  </si>
  <si>
    <t>Seamands, Nathan</t>
  </si>
  <si>
    <t>Anthis, Michael</t>
  </si>
  <si>
    <t>Guarantees Owed:</t>
  </si>
  <si>
    <t>62nd</t>
  </si>
  <si>
    <t>63rd</t>
  </si>
  <si>
    <t>64th</t>
  </si>
  <si>
    <t>65th</t>
  </si>
  <si>
    <t>66th</t>
  </si>
  <si>
    <t>45th</t>
  </si>
  <si>
    <t>50th</t>
  </si>
  <si>
    <t>51st</t>
  </si>
  <si>
    <t>Conklin, Don</t>
  </si>
  <si>
    <t>2023 Non-Yearly</t>
  </si>
  <si>
    <t>Purschwitz, Dan</t>
  </si>
  <si>
    <t>2024 Non-Yearly</t>
  </si>
  <si>
    <t>Best Guarantee Percentage:</t>
  </si>
  <si>
    <t>67th</t>
  </si>
  <si>
    <t>(Week 5 - 2024)</t>
  </si>
  <si>
    <t>(Week 12 - 2024)</t>
  </si>
  <si>
    <t>(Week 13 - 2024)</t>
  </si>
  <si>
    <t>(Week 14 - 2024)</t>
  </si>
  <si>
    <t>7th-T</t>
  </si>
  <si>
    <t>2024 College</t>
  </si>
  <si>
    <t>18, 7-6-3</t>
  </si>
  <si>
    <t>18, 6-7-3</t>
  </si>
  <si>
    <t>(2023-2024)</t>
  </si>
  <si>
    <t>2025 Correct</t>
  </si>
  <si>
    <t>2025 Total</t>
  </si>
  <si>
    <t>Mattson, Nick</t>
  </si>
  <si>
    <t>Trant, Garrett</t>
  </si>
  <si>
    <t>Trant, Cody</t>
  </si>
  <si>
    <t>68th</t>
  </si>
  <si>
    <t>1500+ All-Time Correct</t>
  </si>
  <si>
    <t>(Week 1 - 2025)</t>
  </si>
  <si>
    <t>(Week 3 - 2025)</t>
  </si>
  <si>
    <t>69th</t>
  </si>
  <si>
    <t>(Week 4 - 2025)</t>
  </si>
  <si>
    <t>(Week 5 - 2025)</t>
  </si>
  <si>
    <t>(Week 6 - 2025)</t>
  </si>
  <si>
    <t>5th-T</t>
  </si>
  <si>
    <t>2025 Non-Yearly</t>
  </si>
  <si>
    <t>9th-T</t>
  </si>
  <si>
    <t>13th-T</t>
  </si>
  <si>
    <t>(Week x - 202x)</t>
  </si>
  <si>
    <t>22nd-T</t>
  </si>
  <si>
    <t>(Week 12 - 2025)</t>
  </si>
  <si>
    <t>500+ increment cutoffs</t>
  </si>
  <si>
    <t>2025 College</t>
  </si>
  <si>
    <t>12th-T</t>
  </si>
  <si>
    <t>16th-T</t>
  </si>
  <si>
    <t>20th-T</t>
  </si>
  <si>
    <t>25th-T</t>
  </si>
  <si>
    <t>update</t>
  </si>
  <si>
    <t>Best Guarantee % (Full Season)</t>
  </si>
  <si>
    <t>2026 Correct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</si>
  <si>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</si>
  <si>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</si>
  <si>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</si>
  <si>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</si>
  <si>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</si>
  <si>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</si>
  <si>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</si>
  <si>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</si>
  <si>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</si>
  <si>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</si>
  <si>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</si>
  <si>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</si>
  <si>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</si>
  <si>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</si>
  <si>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</si>
  <si>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</si>
  <si>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</si>
  <si>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</si>
  <si>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</si>
  <si>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</si>
  <si>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</si>
  <si>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</si>
  <si>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</si>
  <si>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</si>
  <si>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</si>
  <si>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</si>
  <si>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</si>
  <si>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</si>
  <si>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</si>
  <si>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</si>
  <si>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</si>
  <si>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</si>
  <si>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</si>
  <si>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</si>
  <si>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</si>
  <si>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</si>
  <si>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</si>
  <si>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</si>
  <si>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Southerland, Brett</t>
  </si>
  <si>
    <t>Games:</t>
  </si>
  <si>
    <t>2026 Total</t>
  </si>
  <si>
    <t>70th</t>
  </si>
  <si>
    <t>71st</t>
  </si>
  <si>
    <t>Update each Week</t>
  </si>
  <si>
    <t>53rd-T</t>
  </si>
  <si>
    <t>no 2026</t>
  </si>
  <si>
    <t>(Week x - 2026)</t>
  </si>
  <si>
    <t>2026 Non-Yearly</t>
  </si>
  <si>
    <t>Best Non-Yearly Percentage : (Top 10)</t>
  </si>
  <si>
    <t>Smith, Ashton</t>
  </si>
  <si>
    <t>72nd</t>
  </si>
  <si>
    <t>All-Time:</t>
  </si>
  <si>
    <t>All-Time Correct:</t>
  </si>
  <si>
    <t>All-Time %:</t>
  </si>
  <si>
    <t>Ranking</t>
  </si>
  <si>
    <t>Guar.</t>
  </si>
  <si>
    <t>WkWin</t>
  </si>
  <si>
    <t>Seasons</t>
  </si>
  <si>
    <t>19th**</t>
  </si>
  <si>
    <t>20th**</t>
  </si>
  <si>
    <t>21st**</t>
  </si>
  <si>
    <t>22nd**</t>
  </si>
  <si>
    <t>23rd**</t>
  </si>
  <si>
    <t>16th**</t>
  </si>
  <si>
    <t>17th**</t>
  </si>
  <si>
    <t>25th/1st*</t>
  </si>
  <si>
    <t>27th/2nd*</t>
  </si>
  <si>
    <t>28th/3rd*</t>
  </si>
  <si>
    <t>24th**</t>
  </si>
  <si>
    <t>27th/1st*</t>
  </si>
  <si>
    <t>28th**</t>
  </si>
  <si>
    <t>34th**</t>
  </si>
  <si>
    <t>21st/1st*</t>
  </si>
  <si>
    <t>28th/2nd*</t>
  </si>
  <si>
    <t>36th**</t>
  </si>
  <si>
    <t>35th/1st*</t>
  </si>
  <si>
    <t>38th**</t>
  </si>
  <si>
    <t>33rd/1st*</t>
  </si>
  <si>
    <t>34th/2nd*</t>
  </si>
  <si>
    <t>37th/3rd*</t>
  </si>
  <si>
    <t>38th/1st*</t>
  </si>
  <si>
    <t>Seamands, Mike</t>
  </si>
  <si>
    <t>name42</t>
  </si>
  <si>
    <t>name43</t>
  </si>
  <si>
    <t>name44</t>
  </si>
  <si>
    <t>name45</t>
  </si>
  <si>
    <t>name46</t>
  </si>
  <si>
    <t>name47</t>
  </si>
  <si>
    <t>name48</t>
  </si>
  <si>
    <t>name49</t>
  </si>
  <si>
    <t>60th-T</t>
  </si>
  <si>
    <t>(Week 7 - 2026)</t>
  </si>
  <si>
    <t>62nd-T</t>
  </si>
  <si>
    <t>2026 Week 09</t>
  </si>
  <si>
    <t>(last edited 11/2/2026)</t>
  </si>
  <si>
    <t>28th-T</t>
  </si>
  <si>
    <t>35th-T</t>
  </si>
  <si>
    <t>(Week 9 - 2026)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</si>
</sst>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0.000"/>
    <numFmt numFmtId="166" formatCode="0.0000%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40">
    <xf numFmtId="0" fontId="0" fillId="0" borderId="0" xfId="0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0" fillId="2" borderId="0" xfId="0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10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0" fontId="0" fillId="3" borderId="5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4" borderId="0" xfId="0" applyFont="1" applyFill="1"/>
    <xf numFmtId="0" fontId="0" fillId="0" borderId="5" xfId="0" applyBorder="1"/>
    <xf numFmtId="0" fontId="0" fillId="2" borderId="0" xfId="0" applyFill="1" applyAlignment="1">
      <alignment horizontal="right"/>
    </xf>
    <xf numFmtId="0" fontId="0" fillId="3" borderId="4" xfId="0" applyFill="1" applyBorder="1" applyAlignment="1">
      <alignment horizontal="center"/>
    </xf>
    <xf numFmtId="0" fontId="0" fillId="0" borderId="0" xfId="0" applyAlignment="1">
      <alignment horizontal="right"/>
    </xf>
    <xf numFmtId="0" fontId="2" fillId="4" borderId="0" xfId="0" applyFont="1" applyFill="1" applyAlignment="1">
      <alignment horizontal="center"/>
    </xf>
    <xf numFmtId="0" fontId="4" fillId="0" borderId="0" xfId="0" applyFont="1"/>
    <xf numFmtId="0" fontId="0" fillId="3" borderId="0" xfId="0" applyFill="1"/>
    <xf numFmtId="0" fontId="2" fillId="3" borderId="0" xfId="0" applyFont="1" applyFill="1"/>
    <xf numFmtId="0" fontId="2" fillId="0" borderId="5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2" borderId="0" xfId="0" applyFill="1"/>
    <xf numFmtId="164" fontId="0" fillId="2" borderId="0" xfId="0" applyNumberFormat="1" applyFill="1"/>
    <xf numFmtId="164" fontId="0" fillId="0" borderId="0" xfId="0" applyNumberFormat="1"/>
    <xf numFmtId="0" fontId="0" fillId="0" borderId="10" xfId="0" applyBorder="1"/>
    <xf numFmtId="0" fontId="1" fillId="4" borderId="12" xfId="0" applyFont="1" applyFill="1" applyBorder="1" applyAlignment="1">
      <alignment horizontal="center"/>
    </xf>
    <xf numFmtId="0" fontId="0" fillId="0" borderId="14" xfId="0" applyBorder="1" applyAlignment="1">
      <alignment horizontal="right"/>
    </xf>
    <xf numFmtId="164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right"/>
    </xf>
    <xf numFmtId="0" fontId="0" fillId="0" borderId="17" xfId="0" applyBorder="1"/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5" borderId="10" xfId="0" applyFill="1" applyBorder="1"/>
    <xf numFmtId="0" fontId="0" fillId="5" borderId="15" xfId="0" applyFill="1" applyBorder="1" applyAlignment="1">
      <alignment horizontal="center"/>
    </xf>
    <xf numFmtId="0" fontId="0" fillId="5" borderId="14" xfId="0" applyFill="1" applyBorder="1" applyAlignment="1">
      <alignment horizontal="right"/>
    </xf>
    <xf numFmtId="164" fontId="0" fillId="5" borderId="15" xfId="0" applyNumberForma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164" fontId="0" fillId="0" borderId="10" xfId="0" applyNumberFormat="1" applyBorder="1" applyAlignment="1">
      <alignment horizontal="center"/>
    </xf>
    <xf numFmtId="164" fontId="1" fillId="4" borderId="20" xfId="0" applyNumberFormat="1" applyFont="1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0" borderId="10" xfId="0" applyBorder="1" applyAlignment="1">
      <alignment horizontal="right"/>
    </xf>
    <xf numFmtId="0" fontId="1" fillId="4" borderId="19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4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0" fillId="0" borderId="27" xfId="0" applyBorder="1"/>
    <xf numFmtId="10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4" borderId="19" xfId="0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0" fillId="0" borderId="30" xfId="0" applyBorder="1"/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7" borderId="0" xfId="0" applyFill="1"/>
    <xf numFmtId="0" fontId="0" fillId="0" borderId="32" xfId="0" applyBorder="1" applyAlignment="1">
      <alignment horizontal="right"/>
    </xf>
    <xf numFmtId="0" fontId="0" fillId="0" borderId="32" xfId="0" applyBorder="1"/>
    <xf numFmtId="0" fontId="0" fillId="0" borderId="32" xfId="0" applyBorder="1" applyAlignment="1">
      <alignment horizontal="center"/>
    </xf>
    <xf numFmtId="0" fontId="0" fillId="0" borderId="20" xfId="0" applyBorder="1"/>
    <xf numFmtId="164" fontId="0" fillId="0" borderId="20" xfId="0" applyNumberFormat="1" applyBorder="1"/>
    <xf numFmtId="1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2" borderId="22" xfId="0" applyFill="1" applyBorder="1"/>
    <xf numFmtId="164" fontId="0" fillId="0" borderId="3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32" xfId="0" applyNumberFormat="1" applyBorder="1" applyAlignment="1">
      <alignment horizontal="center"/>
    </xf>
    <xf numFmtId="0" fontId="0" fillId="0" borderId="1" xfId="0" applyBorder="1"/>
    <xf numFmtId="0" fontId="0" fillId="0" borderId="17" xfId="0" applyBorder="1" applyAlignment="1">
      <alignment horizontal="right"/>
    </xf>
    <xf numFmtId="0" fontId="0" fillId="0" borderId="30" xfId="0" applyBorder="1" applyAlignment="1">
      <alignment horizontal="right"/>
    </xf>
    <xf numFmtId="165" fontId="0" fillId="0" borderId="30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3" xfId="0" applyBorder="1"/>
    <xf numFmtId="0" fontId="0" fillId="0" borderId="33" xfId="0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5" fontId="0" fillId="0" borderId="5" xfId="0" applyNumberFormat="1" applyBorder="1"/>
    <xf numFmtId="0" fontId="2" fillId="0" borderId="34" xfId="0" applyFont="1" applyBorder="1" applyAlignment="1">
      <alignment horizontal="center"/>
    </xf>
    <xf numFmtId="164" fontId="7" fillId="4" borderId="13" xfId="0" applyNumberFormat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7" fillId="4" borderId="21" xfId="0" applyNumberFormat="1" applyFont="1" applyFill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0" fillId="0" borderId="30" xfId="0" applyBorder="1" applyAlignment="1">
      <alignment horizontal="left"/>
    </xf>
    <xf numFmtId="165" fontId="0" fillId="0" borderId="0" xfId="0" applyNumberFormat="1"/>
    <xf numFmtId="164" fontId="0" fillId="0" borderId="30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right"/>
    </xf>
    <xf numFmtId="165" fontId="0" fillId="0" borderId="10" xfId="0" applyNumberFormat="1" applyBorder="1"/>
    <xf numFmtId="0" fontId="0" fillId="0" borderId="36" xfId="0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0" fontId="0" fillId="0" borderId="10" xfId="1" applyNumberFormat="1" applyFont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10" fontId="0" fillId="0" borderId="32" xfId="1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0" fontId="3" fillId="2" borderId="17" xfId="0" applyFont="1" applyFill="1" applyBorder="1" applyAlignment="1">
      <alignment horizontal="center"/>
    </xf>
    <xf numFmtId="10" fontId="0" fillId="0" borderId="17" xfId="1" applyNumberFormat="1" applyFont="1" applyBorder="1" applyAlignment="1">
      <alignment horizontal="center"/>
    </xf>
    <xf numFmtId="0" fontId="1" fillId="4" borderId="20" xfId="0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" fillId="4" borderId="2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37" xfId="0" applyBorder="1" applyAlignment="1">
      <alignment horizontal="right"/>
    </xf>
    <xf numFmtId="0" fontId="0" fillId="0" borderId="25" xfId="0" applyBorder="1" applyAlignment="1">
      <alignment horizontal="left"/>
    </xf>
    <xf numFmtId="0" fontId="3" fillId="2" borderId="30" xfId="0" applyFont="1" applyFill="1" applyBorder="1" applyAlignment="1">
      <alignment horizontal="center"/>
    </xf>
    <xf numFmtId="10" fontId="0" fillId="0" borderId="30" xfId="1" applyNumberFormat="1" applyFont="1" applyBorder="1" applyAlignment="1">
      <alignment horizontal="center"/>
    </xf>
    <xf numFmtId="0" fontId="0" fillId="0" borderId="35" xfId="0" applyBorder="1"/>
    <xf numFmtId="0" fontId="1" fillId="4" borderId="11" xfId="0" applyFont="1" applyFill="1" applyBorder="1" applyAlignment="1">
      <alignment horizontal="left"/>
    </xf>
    <xf numFmtId="0" fontId="7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0" fillId="0" borderId="24" xfId="0" applyBorder="1" applyAlignment="1">
      <alignment horizontal="right"/>
    </xf>
    <xf numFmtId="0" fontId="0" fillId="4" borderId="32" xfId="0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25" xfId="0" applyBorder="1" applyAlignment="1">
      <alignment horizontal="right"/>
    </xf>
    <xf numFmtId="164" fontId="0" fillId="5" borderId="10" xfId="0" applyNumberFormat="1" applyFill="1" applyBorder="1" applyAlignment="1">
      <alignment horizontal="center"/>
    </xf>
    <xf numFmtId="0" fontId="0" fillId="5" borderId="32" xfId="0" applyFill="1" applyBorder="1" applyAlignment="1">
      <alignment horizontal="right"/>
    </xf>
    <xf numFmtId="0" fontId="0" fillId="5" borderId="10" xfId="0" applyFill="1" applyBorder="1" applyAlignment="1">
      <alignment horizontal="center"/>
    </xf>
    <xf numFmtId="0" fontId="0" fillId="0" borderId="25" xfId="0" applyBorder="1"/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164" fontId="0" fillId="0" borderId="25" xfId="1" applyNumberFormat="1" applyFont="1" applyBorder="1" applyAlignment="1">
      <alignment horizontal="center"/>
    </xf>
    <xf numFmtId="164" fontId="0" fillId="5" borderId="10" xfId="1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right"/>
    </xf>
    <xf numFmtId="0" fontId="0" fillId="5" borderId="10" xfId="0" applyFill="1" applyBorder="1" applyAlignment="1">
      <alignment horizontal="left"/>
    </xf>
    <xf numFmtId="166" fontId="0" fillId="0" borderId="30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0" fillId="0" borderId="12" xfId="0" applyBorder="1" applyAlignment="1">
      <alignment horizontal="right"/>
    </xf>
    <xf numFmtId="10" fontId="0" fillId="0" borderId="10" xfId="1" applyNumberFormat="1" applyFont="1" applyFill="1" applyBorder="1" applyAlignment="1">
      <alignment horizontal="center"/>
    </xf>
    <xf numFmtId="10" fontId="0" fillId="0" borderId="30" xfId="1" applyNumberFormat="1" applyFont="1" applyFill="1" applyBorder="1" applyAlignment="1">
      <alignment horizontal="center"/>
    </xf>
    <xf numFmtId="164" fontId="0" fillId="0" borderId="5" xfId="0" applyNumberFormat="1" applyBorder="1"/>
    <xf numFmtId="0" fontId="0" fillId="8" borderId="5" xfId="0" applyFill="1" applyBorder="1"/>
    <xf numFmtId="0" fontId="0" fillId="8" borderId="5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19" xfId="0" applyFill="1" applyBorder="1"/>
    <xf numFmtId="0" fontId="0" fillId="8" borderId="22" xfId="0" applyFill="1" applyBorder="1"/>
    <xf numFmtId="0" fontId="0" fillId="8" borderId="24" xfId="0" applyFill="1" applyBorder="1"/>
    <xf numFmtId="0" fontId="0" fillId="8" borderId="26" xfId="0" applyFill="1" applyBorder="1" applyAlignment="1">
      <alignment horizontal="center"/>
    </xf>
    <xf numFmtId="0" fontId="0" fillId="8" borderId="0" xfId="0" applyFill="1"/>
    <xf numFmtId="0" fontId="2" fillId="0" borderId="32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3" borderId="30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165" fontId="0" fillId="8" borderId="0" xfId="0" applyNumberFormat="1" applyFill="1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31" xfId="0" applyFill="1" applyBorder="1" applyAlignment="1">
      <alignment horizontal="center"/>
    </xf>
    <xf numFmtId="0" fontId="9" fillId="9" borderId="0" xfId="0" applyFont="1" applyFill="1" applyAlignment="1">
      <alignment horizontal="center"/>
    </xf>
    <xf numFmtId="0" fontId="2" fillId="2" borderId="30" xfId="0" applyFont="1" applyFill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2" borderId="17" xfId="0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0" fontId="0" fillId="2" borderId="10" xfId="0" applyFill="1" applyBorder="1" applyAlignment="1">
      <alignment horizontal="right"/>
    </xf>
    <xf numFmtId="0" fontId="0" fillId="2" borderId="10" xfId="0" applyFill="1" applyBorder="1" applyAlignment="1">
      <alignment horizontal="left"/>
    </xf>
    <xf numFmtId="0" fontId="11" fillId="10" borderId="21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10" fontId="2" fillId="5" borderId="0" xfId="0" applyNumberFormat="1" applyFont="1" applyFill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65" fontId="0" fillId="2" borderId="15" xfId="0" applyNumberFormat="1" applyFill="1" applyBorder="1" applyAlignment="1">
      <alignment horizontal="center"/>
    </xf>
    <xf numFmtId="0" fontId="2" fillId="2" borderId="24" xfId="0" applyFont="1" applyFill="1" applyBorder="1" applyAlignment="1">
      <alignment horizontal="right"/>
    </xf>
    <xf numFmtId="0" fontId="2" fillId="2" borderId="25" xfId="0" applyFont="1" applyFill="1" applyBorder="1" applyAlignment="1">
      <alignment horizontal="left"/>
    </xf>
    <xf numFmtId="164" fontId="2" fillId="2" borderId="25" xfId="0" applyNumberFormat="1" applyFont="1" applyFill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horizontal="center"/>
    </xf>
    <xf numFmtId="165" fontId="2" fillId="2" borderId="26" xfId="0" applyNumberFormat="1" applyFont="1" applyFill="1" applyBorder="1" applyAlignment="1">
      <alignment horizontal="center"/>
    </xf>
    <xf numFmtId="0" fontId="11" fillId="10" borderId="23" xfId="0" applyFont="1" applyFill="1" applyBorder="1" applyAlignment="1">
      <alignment horizontal="center"/>
    </xf>
    <xf numFmtId="0" fontId="11" fillId="10" borderId="24" xfId="0" applyFont="1" applyFill="1" applyBorder="1"/>
    <xf numFmtId="0" fontId="11" fillId="10" borderId="25" xfId="0" applyFont="1" applyFill="1" applyBorder="1"/>
    <xf numFmtId="164" fontId="11" fillId="10" borderId="25" xfId="0" applyNumberFormat="1" applyFont="1" applyFill="1" applyBorder="1"/>
    <xf numFmtId="0" fontId="11" fillId="10" borderId="25" xfId="0" applyFont="1" applyFill="1" applyBorder="1" applyAlignment="1">
      <alignment horizontal="center"/>
    </xf>
    <xf numFmtId="0" fontId="11" fillId="10" borderId="25" xfId="0" applyFont="1" applyFill="1" applyBorder="1" applyAlignment="1">
      <alignment horizontal="left"/>
    </xf>
    <xf numFmtId="0" fontId="11" fillId="10" borderId="25" xfId="0" applyFont="1" applyFill="1" applyBorder="1" applyAlignment="1">
      <alignment horizontal="right"/>
    </xf>
    <xf numFmtId="165" fontId="11" fillId="10" borderId="26" xfId="0" applyNumberFormat="1" applyFont="1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4" borderId="15" xfId="0" applyFill="1" applyBorder="1" applyAlignment="1">
      <alignment horizontal="center"/>
    </xf>
    <xf numFmtId="0" fontId="0" fillId="9" borderId="32" xfId="0" applyFill="1" applyBorder="1" applyAlignment="1">
      <alignment horizontal="right"/>
    </xf>
    <xf numFmtId="0" fontId="12" fillId="10" borderId="19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1" fillId="10" borderId="20" xfId="0" applyFont="1" applyFill="1" applyBorder="1" applyAlignment="1">
      <alignment horizontal="right"/>
    </xf>
    <xf numFmtId="0" fontId="11" fillId="10" borderId="0" xfId="0" applyFont="1" applyFill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5" xfId="0" applyFill="1" applyBorder="1" applyAlignment="1">
      <alignment horizontal="center"/>
    </xf>
    <xf numFmtId="0" fontId="0" fillId="0" borderId="25" xfId="0" applyFill="1" applyBorder="1" applyAlignment="1">
      <alignment horizontal="right"/>
    </xf>
  </cellXfs>
  <cellStyles count="2">
    <cellStyle name="Normal" xfId="0" builtinId="0"/>
    <cellStyle name="Percent" xfId="1" builtinId="5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7"/>
  <sheetViews>
    <sheetView tabSelected="1" workbookViewId="0">
      <selection activeCell="H1" sqref="H1"/>
    </sheetView>
  </sheetViews>
  <sheetFormatPr defaultColWidth="8.85546875" defaultRowHeight="15" x14ac:dyDescent="0.25"/>
  <cols>
    <col min="1" max="1" width="3" bestFit="1" customWidth="1"/>
    <col min="2" max="2" width="21.42578125" bestFit="1" customWidth="1"/>
    <col min="3" max="3" width="7.42578125" style="9" bestFit="1" customWidth="1"/>
    <col min="4" max="4" width="5.42578125" style="9" bestFit="1" customWidth="1"/>
    <col min="5" max="5" width="8.140625" style="9" bestFit="1" customWidth="1"/>
    <col min="6" max="6" width="3" style="9" bestFit="1" customWidth="1"/>
    <col min="7" max="7" width="7" style="9" bestFit="1" customWidth="1"/>
    <col min="8" max="8" width="6.42578125" style="9" bestFit="1" customWidth="1"/>
    <col min="9" max="9" width="2.7109375" style="9" customWidth="1"/>
    <col min="10" max="10" width="11.85546875" style="9" bestFit="1" customWidth="1"/>
    <col min="11" max="11" width="9.85546875" style="9" bestFit="1" customWidth="1"/>
    <col min="12" max="12" width="11.85546875" style="9" bestFit="1" customWidth="1"/>
    <col min="13" max="13" width="9.85546875" style="9" bestFit="1" customWidth="1"/>
    <col min="14" max="14" width="11.85546875" style="9" bestFit="1" customWidth="1"/>
    <col min="15" max="15" width="9.85546875" style="9" bestFit="1" customWidth="1"/>
    <col min="16" max="16" width="11.85546875" style="9" bestFit="1" customWidth="1"/>
    <col min="17" max="17" width="9.85546875" style="9" bestFit="1" customWidth="1"/>
    <col min="18" max="18" width="11.85546875" style="9" bestFit="1" customWidth="1"/>
    <col min="19" max="19" width="9.85546875" style="9" bestFit="1" customWidth="1"/>
    <col min="20" max="20" width="11.85546875" style="9" bestFit="1" customWidth="1"/>
    <col min="21" max="21" width="9.85546875" style="9" bestFit="1" customWidth="1"/>
    <col min="22" max="22" width="11.85546875" style="9" bestFit="1" customWidth="1"/>
    <col min="23" max="23" width="9.85546875" style="9" bestFit="1" customWidth="1"/>
    <col min="24" max="24" width="11.85546875" style="9" bestFit="1" customWidth="1"/>
    <col min="25" max="25" width="9.85546875" style="9" bestFit="1" customWidth="1"/>
    <col min="26" max="26" width="11.85546875" style="9" bestFit="1" customWidth="1"/>
    <col min="27" max="27" width="9.85546875" style="9" bestFit="1" customWidth="1"/>
    <col min="28" max="28" width="11.85546875" style="9" bestFit="1" customWidth="1"/>
    <col min="29" max="29" width="9.85546875" style="9" bestFit="1" customWidth="1"/>
    <col min="30" max="30" width="11.85546875" style="9" bestFit="1" customWidth="1"/>
    <col min="31" max="31" width="9.85546875" style="9" bestFit="1" customWidth="1"/>
    <col min="32" max="32" width="11.85546875" style="9" bestFit="1" customWidth="1"/>
    <col min="33" max="33" width="9.85546875" style="9" bestFit="1" customWidth="1"/>
  </cols>
  <sheetData>
    <row r="1" spans="1:33" ht="18.75" x14ac:dyDescent="0.3">
      <c r="B1" s="50" t="s">
        <v>89</v>
      </c>
    </row>
    <row r="2" spans="1:33" x14ac:dyDescent="0.25">
      <c r="B2" s="9" t="s">
        <v>389</v>
      </c>
    </row>
    <row r="4" spans="1:33" s="10" customFormat="1" x14ac:dyDescent="0.25">
      <c r="B4" s="33" t="s">
        <v>0</v>
      </c>
      <c r="C4" s="33" t="s">
        <v>1</v>
      </c>
      <c r="D4" s="33" t="s">
        <v>2</v>
      </c>
      <c r="E4" s="33" t="s">
        <v>3</v>
      </c>
      <c r="F4" s="33" t="s">
        <v>107</v>
      </c>
      <c r="G4" s="33" t="s">
        <v>108</v>
      </c>
      <c r="H4" s="33" t="s">
        <v>109</v>
      </c>
      <c r="J4" s="10" t="s">
        <v>294</v>
      </c>
      <c r="K4" s="10" t="s">
        <v>335</v>
      </c>
      <c r="L4" s="10" t="s">
        <v>266</v>
      </c>
      <c r="M4" s="10" t="s">
        <v>267</v>
      </c>
      <c r="N4" s="10" t="s">
        <v>235</v>
      </c>
      <c r="O4" s="10" t="s">
        <v>236</v>
      </c>
      <c r="P4" s="10" t="s">
        <v>210</v>
      </c>
      <c r="Q4" s="10" t="s">
        <v>211</v>
      </c>
      <c r="R4" s="10" t="s">
        <v>188</v>
      </c>
      <c r="S4" s="10" t="s">
        <v>189</v>
      </c>
      <c r="T4" s="10" t="s">
        <v>87</v>
      </c>
      <c r="U4" s="10" t="s">
        <v>88</v>
      </c>
      <c r="V4" s="10" t="s">
        <v>90</v>
      </c>
      <c r="W4" s="10" t="s">
        <v>91</v>
      </c>
      <c r="X4" s="10" t="s">
        <v>92</v>
      </c>
      <c r="Y4" s="10" t="s">
        <v>93</v>
      </c>
      <c r="Z4" s="10" t="s">
        <v>94</v>
      </c>
      <c r="AA4" s="10" t="s">
        <v>95</v>
      </c>
      <c r="AB4" s="10" t="s">
        <v>96</v>
      </c>
      <c r="AC4" s="10" t="s">
        <v>97</v>
      </c>
      <c r="AD4" s="10" t="s">
        <v>98</v>
      </c>
      <c r="AE4" s="10" t="s">
        <v>99</v>
      </c>
      <c r="AF4" s="10" t="s">
        <v>100</v>
      </c>
      <c r="AG4" s="10" t="s">
        <v>101</v>
      </c>
    </row>
    <row r="5" spans="1:33" x14ac:dyDescent="0.25">
      <c r="A5">
        <v>1</v>
      </c>
      <c r="B5" s="25" t="s">
        <v>53</v>
      </c>
      <c r="C5" s="12">
        <f>J5+L5+N5+P5+R5+T5+V5+X5+Z5+AB5+AD5+AF5</f>
        <v>1118.5</v>
      </c>
      <c r="D5" s="12">
        <f>K5+M5+O5+Q5+S5+U5+W5+Y5+AA5+AC5+AE5+AG5</f>
        <v>2283</v>
      </c>
      <c r="E5" s="34">
        <f t="shared" ref="E5" si="0">C5/D5</f>
        <v>0.48992553657468246</v>
      </c>
      <c r="F5" s="12">
        <f>COUNT(J5:AAM5)/2</f>
        <v>8</v>
      </c>
      <c r="G5" s="12" t="str">
        <f>INDEX(Records!$B$4:$D$102,MATCH(B5,Records!$C$4:$C$102,0),1)</f>
        <v>21st</v>
      </c>
      <c r="H5" s="12" t="str">
        <f>INDEX(Records!$F$4:$H$102,MATCH(B5,Records!$G$4:$G$102,0),1)</f>
        <v>27th</v>
      </c>
      <c r="J5" s="9">
        <f>VLOOKUP(B5,'2026'!$B$3:$F$92,2, FALSE)</f>
        <v>83</v>
      </c>
      <c r="K5" s="9">
        <f>VLOOKUP(B5,'2026'!$B$3:$F$92,3, FALSE)</f>
        <v>180</v>
      </c>
      <c r="L5" s="9">
        <f>VLOOKUP(B5,'2025'!$B$3:$F$100,2, FALSE)</f>
        <v>133</v>
      </c>
      <c r="M5" s="9">
        <f>VLOOKUP(B5,'2025'!$B$3:$F$100,3, FALSE)</f>
        <v>285</v>
      </c>
      <c r="N5" s="9">
        <f>VLOOKUP(B5,'2024'!$B$3:$F$100,2, FALSE)</f>
        <v>151</v>
      </c>
      <c r="O5" s="9">
        <f>VLOOKUP(B5,'2024'!$B$3:$F$100,3, FALSE)</f>
        <v>310</v>
      </c>
      <c r="P5" s="9">
        <f>VLOOKUP(B5,'2023'!$B$3:$F$100,2, FALSE)</f>
        <v>150.5</v>
      </c>
      <c r="Q5" s="9">
        <f>VLOOKUP(B5,'2023'!$B$3:$F$100,3, FALSE)</f>
        <v>290</v>
      </c>
      <c r="R5" s="9">
        <f>VLOOKUP(B5,'2022'!$B$3:$F$100,2, FALSE)</f>
        <v>133.5</v>
      </c>
      <c r="S5" s="9">
        <f>VLOOKUP(B5,'2022'!$B$3:$F$100,3, FALSE)</f>
        <v>290</v>
      </c>
      <c r="T5" s="9">
        <f>VLOOKUP(B5,'2021'!$B$3:$F$100,2, FALSE)</f>
        <v>150.5</v>
      </c>
      <c r="U5" s="9">
        <f>VLOOKUP(B5,'2021'!$B$3:$F$100,3, FALSE)</f>
        <v>288</v>
      </c>
      <c r="V5" s="15"/>
      <c r="W5" s="15"/>
      <c r="X5" s="15"/>
      <c r="Y5" s="15"/>
      <c r="Z5" s="15"/>
      <c r="AA5" s="15"/>
      <c r="AB5" s="9">
        <f>VLOOKUP(B5,'2017'!$B$3:$F$100,2, FALSE)</f>
        <v>141.5</v>
      </c>
      <c r="AC5" s="9">
        <f>VLOOKUP(B5,'2017'!$B$3:$F$100,3, FALSE)</f>
        <v>290</v>
      </c>
      <c r="AD5" s="15"/>
      <c r="AE5" s="15"/>
      <c r="AF5" s="9">
        <f>VLOOKUP(B5,'2015'!$B$3:$F$100,2, FALSE)</f>
        <v>175.5</v>
      </c>
      <c r="AG5" s="9">
        <f>VLOOKUP(B5,'2015'!$B$3:$F$100,3, FALSE)</f>
        <v>350</v>
      </c>
    </row>
    <row r="6" spans="1:33" x14ac:dyDescent="0.25">
      <c r="A6">
        <v>2</v>
      </c>
      <c r="B6" s="25" t="s">
        <v>78</v>
      </c>
      <c r="C6" s="12">
        <f t="shared" ref="C6:C73" si="1">J6+L6+N6+P6+R6+T6+V6+X6+Z6+AB6+AD6+AF6</f>
        <v>487</v>
      </c>
      <c r="D6" s="12">
        <f t="shared" ref="D6:D73" si="2">K6+M6+O6+Q6+S6+U6+W6+Y6+AA6+AC6+AE6+AG6</f>
        <v>1082</v>
      </c>
      <c r="E6" s="34">
        <f t="shared" ref="E6:E73" si="3">C6/D6</f>
        <v>0.45009242144177447</v>
      </c>
      <c r="F6" s="12">
        <f t="shared" ref="F6:F73" si="4">COUNT(J6:AAM6)/2</f>
        <v>4</v>
      </c>
      <c r="G6" s="12" t="str">
        <f>INDEX(Records!$B$4:$D$102,MATCH(B6,Records!$C$4:$C$102,0),1)</f>
        <v>35th-T</v>
      </c>
      <c r="H6" s="12" t="str">
        <f>INDEX(Records!$F$4:$H$102,MATCH(B6,Records!$G$4:$G$102,0),1)</f>
        <v>60th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>
        <f>VLOOKUP(B6,'2020'!$B$3:$F$100,2, FALSE)</f>
        <v>126</v>
      </c>
      <c r="W6" s="9">
        <f>VLOOKUP(B6,'2020'!$B$3:$F$100,3, FALSE)</f>
        <v>292</v>
      </c>
      <c r="X6" s="9">
        <f>VLOOKUP(B6,'2019'!$B$3:$F$100,2, FALSE)</f>
        <v>146.5</v>
      </c>
      <c r="Y6" s="9">
        <f>VLOOKUP(B6,'2019'!$B$3:$F$100,3, FALSE)</f>
        <v>300</v>
      </c>
      <c r="Z6" s="9">
        <f>VLOOKUP(B6,'2018'!$B$3:$F$100,2, FALSE)</f>
        <v>76</v>
      </c>
      <c r="AA6" s="9">
        <f>VLOOKUP(B6,'2018'!$B$3:$F$100,3, FALSE)</f>
        <v>200</v>
      </c>
      <c r="AB6" s="9">
        <f>VLOOKUP(B6,'2017'!$B$3:$F$100,2, FALSE)</f>
        <v>138.5</v>
      </c>
      <c r="AC6" s="9">
        <f>VLOOKUP(B6,'2017'!$B$3:$F$100,3, FALSE)</f>
        <v>290</v>
      </c>
      <c r="AD6" s="15"/>
      <c r="AE6" s="15"/>
      <c r="AF6" s="15"/>
      <c r="AG6" s="15"/>
    </row>
    <row r="7" spans="1:33" x14ac:dyDescent="0.25">
      <c r="A7">
        <v>3</v>
      </c>
      <c r="B7" s="25" t="s">
        <v>241</v>
      </c>
      <c r="C7" s="12">
        <f t="shared" si="1"/>
        <v>137</v>
      </c>
      <c r="D7" s="12">
        <f t="shared" si="2"/>
        <v>310</v>
      </c>
      <c r="E7" s="34">
        <f t="shared" si="3"/>
        <v>0.44193548387096776</v>
      </c>
      <c r="F7" s="12">
        <f t="shared" si="4"/>
        <v>1</v>
      </c>
      <c r="G7" s="12" t="str">
        <f>INDEX(Records!$B$4:$D$102,MATCH(B7,Records!$C$4:$C$102,0),1)</f>
        <v>64th</v>
      </c>
      <c r="H7" s="12" t="str">
        <f>INDEX(Records!$F$4:$H$102,MATCH(B7,Records!$G$4:$G$102,0),1)</f>
        <v>62nd</v>
      </c>
      <c r="J7" s="15"/>
      <c r="K7" s="15"/>
      <c r="L7" s="15"/>
      <c r="M7" s="15"/>
      <c r="N7" s="9">
        <f>VLOOKUP(B7,'2024'!$B$3:$F$100,2, FALSE)</f>
        <v>137</v>
      </c>
      <c r="O7" s="9">
        <f>VLOOKUP(B7,'2024'!$B$3:$F$100,3, FALSE)</f>
        <v>310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x14ac:dyDescent="0.25">
      <c r="A8">
        <v>4</v>
      </c>
      <c r="B8" s="25" t="s">
        <v>51</v>
      </c>
      <c r="C8" s="12">
        <f t="shared" si="1"/>
        <v>1525</v>
      </c>
      <c r="D8" s="12">
        <f t="shared" si="2"/>
        <v>3105</v>
      </c>
      <c r="E8" s="34">
        <f t="shared" si="3"/>
        <v>0.49114331723027377</v>
      </c>
      <c r="F8" s="12">
        <f t="shared" si="4"/>
        <v>11</v>
      </c>
      <c r="G8" s="12" t="str">
        <f>INDEX(Records!$B$4:$D$102,MATCH(B8,Records!$C$4:$C$102,0),1)</f>
        <v>9th</v>
      </c>
      <c r="H8" s="12" t="str">
        <f>INDEX(Records!$F$4:$H$102,MATCH(B8,Records!$G$4:$G$102,0),1)</f>
        <v>23rd</v>
      </c>
      <c r="J8" s="9">
        <f>VLOOKUP(B8,'2026'!$B$3:$F$92,2, FALSE)</f>
        <v>86</v>
      </c>
      <c r="K8" s="9">
        <f>VLOOKUP(B8,'2026'!$B$3:$F$92,3, FALSE)</f>
        <v>180</v>
      </c>
      <c r="L8" s="9">
        <f>VLOOKUP(B8,'2025'!$B$3:$F$100,2, FALSE)</f>
        <v>132</v>
      </c>
      <c r="M8" s="9">
        <f>VLOOKUP(B8,'2025'!$B$3:$F$100,3, FALSE)</f>
        <v>285</v>
      </c>
      <c r="N8" s="9">
        <f>VLOOKUP(B8,'2024'!$B$3:$F$100,2, FALSE)</f>
        <v>152</v>
      </c>
      <c r="O8" s="9">
        <f>VLOOKUP(B8,'2024'!$B$3:$F$100,3, FALSE)</f>
        <v>310</v>
      </c>
      <c r="P8" s="9">
        <f>VLOOKUP(B8,'2023'!$B$3:$F$100,2, FALSE)</f>
        <v>156.5</v>
      </c>
      <c r="Q8" s="9">
        <f>VLOOKUP(B8,'2023'!$B$3:$F$100,3, FALSE)</f>
        <v>290</v>
      </c>
      <c r="R8" s="9">
        <f>VLOOKUP(B8,'2022'!$B$3:$F$100,2, FALSE)</f>
        <v>138.5</v>
      </c>
      <c r="S8" s="9">
        <f>VLOOKUP(B8,'2022'!$B$3:$F$100,3, FALSE)</f>
        <v>290</v>
      </c>
      <c r="T8" s="9">
        <f>VLOOKUP(B8,'2021'!$B$3:$F$100,2, FALSE)</f>
        <v>142.5</v>
      </c>
      <c r="U8" s="9">
        <f>VLOOKUP(B8,'2021'!$B$3:$F$100,3, FALSE)</f>
        <v>288</v>
      </c>
      <c r="V8" s="9">
        <f>VLOOKUP(B8,'2020'!$B$3:$F$100,2, FALSE)</f>
        <v>141</v>
      </c>
      <c r="W8" s="9">
        <f>VLOOKUP(B8,'2020'!$B$3:$F$100,3, FALSE)</f>
        <v>292</v>
      </c>
      <c r="X8" s="9">
        <f>VLOOKUP(B8,'2019'!$B$3:$F$100,2, FALSE)</f>
        <v>160.5</v>
      </c>
      <c r="Y8" s="9">
        <f>VLOOKUP(B8,'2019'!$B$3:$F$100,3, FALSE)</f>
        <v>300</v>
      </c>
      <c r="Z8" s="9">
        <f>VLOOKUP(B8,'2018'!$B$3:$F$100,2, FALSE)</f>
        <v>134.5</v>
      </c>
      <c r="AA8" s="9">
        <f>VLOOKUP(B8,'2018'!$B$3:$F$100,3, FALSE)</f>
        <v>290</v>
      </c>
      <c r="AB8" s="9">
        <f>VLOOKUP(B8,'2017'!$B$3:$F$100,2, FALSE)</f>
        <v>145.5</v>
      </c>
      <c r="AC8" s="9">
        <f>VLOOKUP(B8,'2017'!$B$3:$F$100,3, FALSE)</f>
        <v>290</v>
      </c>
      <c r="AD8" s="9">
        <f>VLOOKUP(B8,'2016'!$B$3:$F$100,2, FALSE)</f>
        <v>136</v>
      </c>
      <c r="AE8" s="9">
        <f>VLOOKUP(B8,'2016'!$B$3:$F$100,3, FALSE)</f>
        <v>290</v>
      </c>
      <c r="AF8" s="15"/>
      <c r="AG8" s="15"/>
    </row>
    <row r="9" spans="1:33" x14ac:dyDescent="0.25">
      <c r="A9">
        <v>5</v>
      </c>
      <c r="B9" s="25" t="s">
        <v>72</v>
      </c>
      <c r="C9" s="12">
        <f t="shared" si="1"/>
        <v>165.5</v>
      </c>
      <c r="D9" s="12">
        <f t="shared" si="2"/>
        <v>350</v>
      </c>
      <c r="E9" s="34">
        <f t="shared" si="3"/>
        <v>0.47285714285714286</v>
      </c>
      <c r="F9" s="12">
        <f t="shared" si="4"/>
        <v>1</v>
      </c>
      <c r="G9" s="12" t="str">
        <f>INDEX(Records!$B$4:$D$102,MATCH(B9,Records!$C$4:$C$102,0),1)</f>
        <v>54th</v>
      </c>
      <c r="H9" s="12" t="str">
        <f>INDEX(Records!$F$4:$H$102,MATCH(B9,Records!$G$4:$G$102,0),1)</f>
        <v>47th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9">
        <f>VLOOKUP(B9,'2015'!$B$3:$F$100,2, FALSE)</f>
        <v>165.5</v>
      </c>
      <c r="AG9" s="9">
        <f>VLOOKUP(B9,'2015'!$B$3:$F$100,3, FALSE)</f>
        <v>350</v>
      </c>
    </row>
    <row r="10" spans="1:33" x14ac:dyDescent="0.25">
      <c r="A10">
        <v>6</v>
      </c>
      <c r="B10" s="25" t="s">
        <v>67</v>
      </c>
      <c r="C10" s="12">
        <f t="shared" si="1"/>
        <v>361</v>
      </c>
      <c r="D10" s="12">
        <f t="shared" si="2"/>
        <v>779</v>
      </c>
      <c r="E10" s="34">
        <f t="shared" si="3"/>
        <v>0.46341463414634149</v>
      </c>
      <c r="F10" s="12">
        <f t="shared" si="4"/>
        <v>3</v>
      </c>
      <c r="G10" s="12" t="str">
        <f>INDEX(Records!$B$4:$D$102,MATCH(B10,Records!$C$4:$C$102,0),1)</f>
        <v>40th</v>
      </c>
      <c r="H10" s="12" t="str">
        <f>INDEX(Records!$F$4:$H$102,MATCH(B10,Records!$G$4:$G$102,0),1)</f>
        <v>52nd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9">
        <f>VLOOKUP(B10,'2018'!$B$3:$F$100,2, FALSE)</f>
        <v>131.5</v>
      </c>
      <c r="AA10" s="9">
        <f>VLOOKUP(B10,'2018'!$B$3:$F$100,3, FALSE)</f>
        <v>290</v>
      </c>
      <c r="AB10" s="15"/>
      <c r="AC10" s="15"/>
      <c r="AD10" s="9">
        <f>VLOOKUP(B10,'2016'!$B$3:$F$100,2, FALSE)</f>
        <v>49</v>
      </c>
      <c r="AE10" s="9">
        <f>VLOOKUP(B10,'2016'!$B$3:$F$100,3, FALSE)</f>
        <v>139</v>
      </c>
      <c r="AF10" s="9">
        <f>VLOOKUP(B10,'2015'!$B$3:$F$100,2, FALSE)</f>
        <v>180.5</v>
      </c>
      <c r="AG10" s="9">
        <f>VLOOKUP(B10,'2015'!$B$3:$F$100,3, FALSE)</f>
        <v>350</v>
      </c>
    </row>
    <row r="11" spans="1:33" x14ac:dyDescent="0.25">
      <c r="A11">
        <v>7</v>
      </c>
      <c r="B11" s="25" t="s">
        <v>81</v>
      </c>
      <c r="C11" s="12">
        <f t="shared" si="1"/>
        <v>125.5</v>
      </c>
      <c r="D11" s="12">
        <f t="shared" si="2"/>
        <v>290</v>
      </c>
      <c r="E11" s="34">
        <f t="shared" si="3"/>
        <v>0.43275862068965515</v>
      </c>
      <c r="F11" s="12">
        <f t="shared" si="4"/>
        <v>1</v>
      </c>
      <c r="G11" s="12" t="str">
        <f>INDEX(Records!$B$4:$D$102,MATCH(B11,Records!$C$4:$C$102,0),1)</f>
        <v>66th</v>
      </c>
      <c r="H11" s="12" t="str">
        <f>INDEX(Records!$F$4:$H$102,MATCH(B11,Records!$G$4:$G$102,0),1)</f>
        <v>65th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9">
        <f>VLOOKUP(B11,'2018'!$B$3:$F$100,2, FALSE)</f>
        <v>125.5</v>
      </c>
      <c r="AA11" s="9">
        <f>VLOOKUP(B11,'2018'!$B$3:$F$100,3, FALSE)</f>
        <v>290</v>
      </c>
      <c r="AB11" s="15"/>
      <c r="AC11" s="15"/>
      <c r="AD11" s="15"/>
      <c r="AE11" s="15"/>
      <c r="AF11" s="15"/>
      <c r="AG11" s="15"/>
    </row>
    <row r="12" spans="1:33" x14ac:dyDescent="0.25">
      <c r="A12">
        <v>8</v>
      </c>
      <c r="B12" s="25" t="s">
        <v>50</v>
      </c>
      <c r="C12" s="12">
        <f t="shared" si="1"/>
        <v>1714.5</v>
      </c>
      <c r="D12" s="12">
        <f t="shared" si="2"/>
        <v>3455</v>
      </c>
      <c r="E12" s="34">
        <f t="shared" si="3"/>
        <v>0.49623733719247465</v>
      </c>
      <c r="F12" s="12">
        <f t="shared" si="4"/>
        <v>12</v>
      </c>
      <c r="G12" s="12" t="str">
        <f>INDEX(Records!$B$4:$D$102,MATCH(B12,Records!$C$4:$C$102,0),1)</f>
        <v>2nd</v>
      </c>
      <c r="H12" s="12" t="str">
        <f>INDEX(Records!$F$4:$H$102,MATCH(B12,Records!$G$4:$G$102,0),1)</f>
        <v>14th</v>
      </c>
      <c r="J12" s="9">
        <f>VLOOKUP(B12,'2026'!$B$3:$F$92,2, FALSE)</f>
        <v>87</v>
      </c>
      <c r="K12" s="9">
        <f>VLOOKUP(B12,'2026'!$B$3:$F$92,3, FALSE)</f>
        <v>180</v>
      </c>
      <c r="L12" s="9">
        <f>VLOOKUP(B12,'2025'!$B$3:$F$100,2, FALSE)</f>
        <v>129</v>
      </c>
      <c r="M12" s="9">
        <f>VLOOKUP(B12,'2025'!$B$3:$F$100,3, FALSE)</f>
        <v>285</v>
      </c>
      <c r="N12" s="9">
        <f>VLOOKUP(B12,'2024'!$B$3:$F$100,2, FALSE)</f>
        <v>158</v>
      </c>
      <c r="O12" s="9">
        <f>VLOOKUP(B12,'2024'!$B$3:$F$100,3, FALSE)</f>
        <v>310</v>
      </c>
      <c r="P12" s="9">
        <f>VLOOKUP(B12,'2023'!$B$3:$F$100,2, FALSE)</f>
        <v>153.5</v>
      </c>
      <c r="Q12" s="9">
        <f>VLOOKUP(B12,'2023'!$B$3:$F$100,3, FALSE)</f>
        <v>290</v>
      </c>
      <c r="R12" s="9">
        <f>VLOOKUP(B12,'2022'!$B$3:$F$100,2, FALSE)</f>
        <v>139.5</v>
      </c>
      <c r="S12" s="9">
        <f>VLOOKUP(B12,'2022'!$B$3:$F$100,3, FALSE)</f>
        <v>290</v>
      </c>
      <c r="T12" s="9">
        <f>VLOOKUP(B12,'2021'!$B$3:$F$100,2, FALSE)</f>
        <v>138.5</v>
      </c>
      <c r="U12" s="9">
        <f>VLOOKUP(B12,'2021'!$B$3:$F$100,3, FALSE)</f>
        <v>288</v>
      </c>
      <c r="V12" s="9">
        <f>VLOOKUP(B12,'2020'!$B$3:$F$100,2, FALSE)</f>
        <v>144</v>
      </c>
      <c r="W12" s="9">
        <f>VLOOKUP(B12,'2020'!$B$3:$F$100,3, FALSE)</f>
        <v>292</v>
      </c>
      <c r="X12" s="9">
        <f>VLOOKUP(B12,'2019'!$B$3:$F$100,2, FALSE)</f>
        <v>156.5</v>
      </c>
      <c r="Y12" s="9">
        <f>VLOOKUP(B12,'2019'!$B$3:$F$100,3, FALSE)</f>
        <v>300</v>
      </c>
      <c r="Z12" s="9">
        <f>VLOOKUP(B12,'2018'!$B$3:$F$100,2, FALSE)</f>
        <v>137.5</v>
      </c>
      <c r="AA12" s="9">
        <f>VLOOKUP(B12,'2018'!$B$3:$F$100,3, FALSE)</f>
        <v>290</v>
      </c>
      <c r="AB12" s="9">
        <f>VLOOKUP(B12,'2017'!$B$3:$F$100,2, FALSE)</f>
        <v>149.5</v>
      </c>
      <c r="AC12" s="9">
        <f>VLOOKUP(B12,'2017'!$B$3:$F$100,3, FALSE)</f>
        <v>290</v>
      </c>
      <c r="AD12" s="9">
        <f>VLOOKUP(B12,'2016'!$B$3:$F$100,2, FALSE)</f>
        <v>135</v>
      </c>
      <c r="AE12" s="9">
        <f>VLOOKUP(B12,'2016'!$B$3:$F$100,3, FALSE)</f>
        <v>290</v>
      </c>
      <c r="AF12" s="9">
        <f>VLOOKUP(B12,'2015'!$B$3:$F$100,2, FALSE)</f>
        <v>186.5</v>
      </c>
      <c r="AG12" s="9">
        <f>VLOOKUP(B12,'2015'!$B$3:$F$100,3, FALSE)</f>
        <v>350</v>
      </c>
    </row>
    <row r="13" spans="1:33" x14ac:dyDescent="0.25">
      <c r="A13">
        <v>9</v>
      </c>
      <c r="B13" s="25" t="s">
        <v>75</v>
      </c>
      <c r="C13" s="12">
        <f t="shared" si="1"/>
        <v>278</v>
      </c>
      <c r="D13" s="12">
        <f t="shared" si="2"/>
        <v>580</v>
      </c>
      <c r="E13" s="34">
        <f t="shared" si="3"/>
        <v>0.47931034482758622</v>
      </c>
      <c r="F13" s="12">
        <f t="shared" si="4"/>
        <v>2</v>
      </c>
      <c r="G13" s="12" t="str">
        <f>INDEX(Records!$B$4:$D$102,MATCH(B13,Records!$C$4:$C$102,0),1)</f>
        <v>44th</v>
      </c>
      <c r="H13" s="12" t="str">
        <f>INDEX(Records!$F$4:$H$102,MATCH(B13,Records!$G$4:$G$102,0),1)</f>
        <v>42nd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9">
        <f>VLOOKUP(B13,'2018'!$B$3:$F$100,2, FALSE)</f>
        <v>130.5</v>
      </c>
      <c r="AA13" s="9">
        <f>VLOOKUP(B13,'2018'!$B$3:$F$100,3, FALSE)</f>
        <v>290</v>
      </c>
      <c r="AB13" s="9">
        <f>VLOOKUP(B13,'2017'!$B$3:$F$100,2, FALSE)</f>
        <v>147.5</v>
      </c>
      <c r="AC13" s="9">
        <f>VLOOKUP(B13,'2017'!$B$3:$F$100,3, FALSE)</f>
        <v>290</v>
      </c>
      <c r="AD13" s="15"/>
      <c r="AE13" s="15"/>
      <c r="AF13" s="15"/>
      <c r="AG13" s="15"/>
    </row>
    <row r="14" spans="1:33" x14ac:dyDescent="0.25">
      <c r="A14">
        <v>10</v>
      </c>
      <c r="B14" s="25" t="s">
        <v>79</v>
      </c>
      <c r="C14" s="12">
        <f t="shared" si="1"/>
        <v>140.5</v>
      </c>
      <c r="D14" s="12">
        <f t="shared" si="2"/>
        <v>290</v>
      </c>
      <c r="E14" s="34">
        <f t="shared" si="3"/>
        <v>0.48448275862068968</v>
      </c>
      <c r="F14" s="12">
        <f t="shared" si="4"/>
        <v>1</v>
      </c>
      <c r="G14" s="12" t="str">
        <f>INDEX(Records!$B$4:$D$102,MATCH(B14,Records!$C$4:$C$102,0),1)</f>
        <v>60th-T</v>
      </c>
      <c r="H14" s="12" t="str">
        <f>INDEX(Records!$F$4:$H$102,MATCH(B14,Records!$G$4:$G$102,0),1)</f>
        <v>34th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9">
        <f>VLOOKUP(B14,'2017'!$B$3:$F$100,2, FALSE)</f>
        <v>140.5</v>
      </c>
      <c r="AC14" s="9">
        <f>VLOOKUP(B14,'2017'!$B$3:$F$100,3, FALSE)</f>
        <v>290</v>
      </c>
      <c r="AD14" s="15"/>
      <c r="AE14" s="15"/>
      <c r="AF14" s="15"/>
      <c r="AG14" s="15"/>
    </row>
    <row r="15" spans="1:33" x14ac:dyDescent="0.25">
      <c r="A15">
        <v>11</v>
      </c>
      <c r="B15" s="25" t="s">
        <v>59</v>
      </c>
      <c r="C15" s="12">
        <f t="shared" si="1"/>
        <v>1249.5</v>
      </c>
      <c r="D15" s="12">
        <f t="shared" si="2"/>
        <v>2525</v>
      </c>
      <c r="E15" s="34">
        <f t="shared" si="3"/>
        <v>0.49485148514851485</v>
      </c>
      <c r="F15" s="12">
        <f t="shared" si="4"/>
        <v>9</v>
      </c>
      <c r="G15" s="12" t="str">
        <f>INDEX(Records!$B$4:$D$102,MATCH(B15,Records!$C$4:$C$102,0),1)</f>
        <v>18th</v>
      </c>
      <c r="H15" s="12" t="str">
        <f>INDEX(Records!$F$4:$H$102,MATCH(B15,Records!$G$4:$G$102,0),1)</f>
        <v>17th</v>
      </c>
      <c r="J15" s="9">
        <f>VLOOKUP(B15,'2026'!$B$3:$F$92,2, FALSE)</f>
        <v>81</v>
      </c>
      <c r="K15" s="9">
        <f>VLOOKUP(B15,'2026'!$B$3:$F$92,3, FALSE)</f>
        <v>180</v>
      </c>
      <c r="L15" s="9">
        <f>VLOOKUP(B15,'2025'!$B$3:$F$100,2, FALSE)</f>
        <v>144</v>
      </c>
      <c r="M15" s="9">
        <f>VLOOKUP(B15,'2025'!$B$3:$F$100,3, FALSE)</f>
        <v>285</v>
      </c>
      <c r="N15" s="9">
        <f>VLOOKUP(B15,'2024'!$B$3:$F$100,2, FALSE)</f>
        <v>141</v>
      </c>
      <c r="O15" s="9">
        <f>VLOOKUP(B15,'2024'!$B$3:$F$100,3, FALSE)</f>
        <v>310</v>
      </c>
      <c r="P15" s="9">
        <f>VLOOKUP(B15,'2023'!$B$3:$F$100,2, FALSE)</f>
        <v>159.5</v>
      </c>
      <c r="Q15" s="9">
        <f>VLOOKUP(B15,'2023'!$B$3:$F$100,3, FALSE)</f>
        <v>290</v>
      </c>
      <c r="R15" s="9">
        <f>VLOOKUP(B15,'2022'!$B$3:$F$100,2, FALSE)</f>
        <v>156.5</v>
      </c>
      <c r="S15" s="9">
        <f>VLOOKUP(B15,'2022'!$B$3:$F$100,3, FALSE)</f>
        <v>290</v>
      </c>
      <c r="T15" s="9">
        <f>VLOOKUP(B15,'2021'!$B$3:$F$100,2, FALSE)</f>
        <v>149.5</v>
      </c>
      <c r="U15" s="9">
        <f>VLOOKUP(B15,'2021'!$B$3:$F$100,3, FALSE)</f>
        <v>288</v>
      </c>
      <c r="V15" s="9">
        <f>VLOOKUP(B15,'2020'!$B$3:$F$100,2, FALSE)</f>
        <v>132</v>
      </c>
      <c r="W15" s="9">
        <f>VLOOKUP(B15,'2020'!$B$3:$F$100,3, FALSE)</f>
        <v>292</v>
      </c>
      <c r="X15" s="9">
        <f>VLOOKUP(B15,'2019'!$B$3:$F$100,2, FALSE)</f>
        <v>144.5</v>
      </c>
      <c r="Y15" s="9">
        <f>VLOOKUP(B15,'2019'!$B$3:$F$100,3, FALSE)</f>
        <v>300</v>
      </c>
      <c r="Z15" s="9">
        <f>VLOOKUP(B15,'2018'!$B$3:$F$100,2, FALSE)</f>
        <v>141.5</v>
      </c>
      <c r="AA15" s="9">
        <f>VLOOKUP(B15,'2018'!$B$3:$F$100,3, FALSE)</f>
        <v>290</v>
      </c>
      <c r="AB15" s="15"/>
      <c r="AC15" s="15"/>
      <c r="AD15" s="15"/>
      <c r="AE15" s="15"/>
      <c r="AF15" s="15"/>
      <c r="AG15" s="15"/>
    </row>
    <row r="16" spans="1:33" x14ac:dyDescent="0.25">
      <c r="A16">
        <v>12</v>
      </c>
      <c r="B16" s="25" t="s">
        <v>251</v>
      </c>
      <c r="C16" s="12">
        <f t="shared" si="1"/>
        <v>757</v>
      </c>
      <c r="D16" s="12">
        <f t="shared" si="2"/>
        <v>1529</v>
      </c>
      <c r="E16" s="34">
        <f t="shared" si="3"/>
        <v>0.49509483322432962</v>
      </c>
      <c r="F16" s="12">
        <f t="shared" si="4"/>
        <v>6</v>
      </c>
      <c r="G16" s="12" t="str">
        <f>INDEX(Records!$B$4:$D$102,MATCH(B16,Records!$C$4:$C$102,0),1)</f>
        <v>23rd</v>
      </c>
      <c r="H16" s="12" t="str">
        <f>INDEX(Records!$F$4:$H$102,MATCH(B16,Records!$G$4:$G$102,0),1)</f>
        <v>16th</v>
      </c>
      <c r="J16" s="9">
        <f>VLOOKUP(B16,'2026'!$B$3:$F$92,2, FALSE)</f>
        <v>85</v>
      </c>
      <c r="K16" s="9">
        <f>VLOOKUP(B16,'2026'!$B$3:$F$92,3, FALSE)</f>
        <v>180</v>
      </c>
      <c r="L16" s="9">
        <f>VLOOKUP(B16,'2025'!$B$3:$F$100,2, FALSE)</f>
        <v>123</v>
      </c>
      <c r="M16" s="9">
        <f>VLOOKUP(B16,'2025'!$B$3:$F$100,3, FALSE)</f>
        <v>285</v>
      </c>
      <c r="N16" s="9">
        <f>VLOOKUP(B16,'2024'!$B$3:$F$100,2, FALSE)</f>
        <v>145</v>
      </c>
      <c r="O16" s="9">
        <f>VLOOKUP(B16,'2024'!$B$3:$F$100,3, FALSE)</f>
        <v>310</v>
      </c>
      <c r="P16" s="9">
        <f>VLOOKUP(B16,'2023'!$B$3:$F$100,2, FALSE)</f>
        <v>148.5</v>
      </c>
      <c r="Q16" s="9">
        <f>VLOOKUP(B16,'2023'!$B$3:$F$100,3, FALSE)</f>
        <v>290</v>
      </c>
      <c r="R16" s="9">
        <f>VLOOKUP(B16,'2022'!$B$3:$F$100,2, FALSE)</f>
        <v>134</v>
      </c>
      <c r="S16" s="9">
        <f>VLOOKUP(B16,'2022'!$B$3:$F$100,3, FALSE)</f>
        <v>256</v>
      </c>
      <c r="T16" s="9">
        <f>VLOOKUP(B16,'2021'!$B$3:$F$100,2, FALSE)</f>
        <v>121.5</v>
      </c>
      <c r="U16" s="9">
        <f>VLOOKUP(B16,'2021'!$B$3:$F$100,3, FALSE)</f>
        <v>208</v>
      </c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x14ac:dyDescent="0.25">
      <c r="A17">
        <v>13</v>
      </c>
      <c r="B17" s="25" t="s">
        <v>70</v>
      </c>
      <c r="C17" s="12">
        <f t="shared" si="1"/>
        <v>531</v>
      </c>
      <c r="D17" s="12">
        <f t="shared" si="2"/>
        <v>1170</v>
      </c>
      <c r="E17" s="34">
        <f t="shared" si="3"/>
        <v>0.45384615384615384</v>
      </c>
      <c r="F17" s="12">
        <f t="shared" si="4"/>
        <v>4</v>
      </c>
      <c r="G17" s="12" t="str">
        <f>INDEX(Records!$B$4:$D$102,MATCH(B17,Records!$C$4:$C$102,0),1)</f>
        <v>32nd</v>
      </c>
      <c r="H17" s="12" t="str">
        <f>INDEX(Records!$F$4:$H$102,MATCH(B17,Records!$G$4:$G$102,0),1)</f>
        <v>58th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9">
        <f>VLOOKUP(B17,'2018'!$B$3:$F$100,2, FALSE)</f>
        <v>92</v>
      </c>
      <c r="AA17" s="9">
        <f>VLOOKUP(B17,'2018'!$B$3:$F$100,3, FALSE)</f>
        <v>240</v>
      </c>
      <c r="AB17" s="9">
        <f>VLOOKUP(B17,'2017'!$B$3:$F$100,2, FALSE)</f>
        <v>129.5</v>
      </c>
      <c r="AC17" s="9">
        <f>VLOOKUP(B17,'2017'!$B$3:$F$100,3, FALSE)</f>
        <v>290</v>
      </c>
      <c r="AD17" s="9">
        <f>VLOOKUP(B17,'2016'!$B$3:$F$100,2, FALSE)</f>
        <v>136</v>
      </c>
      <c r="AE17" s="9">
        <f>VLOOKUP(B17,'2016'!$B$3:$F$100,3, FALSE)</f>
        <v>290</v>
      </c>
      <c r="AF17" s="9">
        <f>VLOOKUP(B17,'2015'!$B$3:$F$100,2, FALSE)</f>
        <v>173.5</v>
      </c>
      <c r="AG17" s="9">
        <f>VLOOKUP(B17,'2015'!$B$3:$F$100,3, FALSE)</f>
        <v>350</v>
      </c>
    </row>
    <row r="18" spans="1:33" x14ac:dyDescent="0.25">
      <c r="A18">
        <v>14</v>
      </c>
      <c r="B18" s="25" t="s">
        <v>55</v>
      </c>
      <c r="C18" s="12">
        <f t="shared" si="1"/>
        <v>1711.5</v>
      </c>
      <c r="D18" s="12">
        <f t="shared" si="2"/>
        <v>3455</v>
      </c>
      <c r="E18" s="34">
        <f t="shared" si="3"/>
        <v>0.49536903039073804</v>
      </c>
      <c r="F18" s="12">
        <f t="shared" si="4"/>
        <v>12</v>
      </c>
      <c r="G18" s="12" t="str">
        <f>INDEX(Records!$B$4:$D$102,MATCH(B18,Records!$C$4:$C$102,0),1)</f>
        <v>3rd</v>
      </c>
      <c r="H18" s="12" t="str">
        <f>INDEX(Records!$F$4:$H$102,MATCH(B18,Records!$G$4:$G$102,0),1)</f>
        <v>15th</v>
      </c>
      <c r="J18" s="9">
        <f>VLOOKUP(B18,'2026'!$B$3:$F$92,2, FALSE)</f>
        <v>97</v>
      </c>
      <c r="K18" s="9">
        <f>VLOOKUP(B18,'2026'!$B$3:$F$92,3, FALSE)</f>
        <v>180</v>
      </c>
      <c r="L18" s="9">
        <f>VLOOKUP(B18,'2025'!$B$3:$F$100,2, FALSE)</f>
        <v>141</v>
      </c>
      <c r="M18" s="9">
        <f>VLOOKUP(B18,'2025'!$B$3:$F$100,3, FALSE)</f>
        <v>285</v>
      </c>
      <c r="N18" s="9">
        <f>VLOOKUP(B18,'2024'!$B$3:$F$100,2, FALSE)</f>
        <v>148</v>
      </c>
      <c r="O18" s="9">
        <f>VLOOKUP(B18,'2024'!$B$3:$F$100,3, FALSE)</f>
        <v>310</v>
      </c>
      <c r="P18" s="9">
        <f>VLOOKUP(B18,'2023'!$B$3:$F$100,2, FALSE)</f>
        <v>161.5</v>
      </c>
      <c r="Q18" s="9">
        <f>VLOOKUP(B18,'2023'!$B$3:$F$100,3, FALSE)</f>
        <v>290</v>
      </c>
      <c r="R18" s="9">
        <f>VLOOKUP(B18,'2022'!$B$3:$F$100,2, FALSE)</f>
        <v>141.5</v>
      </c>
      <c r="S18" s="9">
        <f>VLOOKUP(B18,'2022'!$B$3:$F$100,3, FALSE)</f>
        <v>290</v>
      </c>
      <c r="T18" s="9">
        <f>VLOOKUP(B18,'2021'!$B$3:$F$100,2, FALSE)</f>
        <v>141.5</v>
      </c>
      <c r="U18" s="9">
        <f>VLOOKUP(B18,'2021'!$B$3:$F$100,3, FALSE)</f>
        <v>288</v>
      </c>
      <c r="V18" s="9">
        <f>VLOOKUP(B18,'2020'!$B$3:$F$100,2, FALSE)</f>
        <v>145</v>
      </c>
      <c r="W18" s="9">
        <f>VLOOKUP(B18,'2020'!$B$3:$F$100,3, FALSE)</f>
        <v>292</v>
      </c>
      <c r="X18" s="9">
        <f>VLOOKUP(B18,'2019'!$B$3:$F$100,2, FALSE)</f>
        <v>138.5</v>
      </c>
      <c r="Y18" s="9">
        <f>VLOOKUP(B18,'2019'!$B$3:$F$100,3, FALSE)</f>
        <v>300</v>
      </c>
      <c r="Z18" s="9">
        <f>VLOOKUP(B18,'2018'!$B$3:$F$100,2, FALSE)</f>
        <v>138.5</v>
      </c>
      <c r="AA18" s="9">
        <f>VLOOKUP(B18,'2018'!$B$3:$F$100,3, FALSE)</f>
        <v>290</v>
      </c>
      <c r="AB18" s="9">
        <f>VLOOKUP(B18,'2017'!$B$3:$F$100,2, FALSE)</f>
        <v>144.5</v>
      </c>
      <c r="AC18" s="9">
        <f>VLOOKUP(B18,'2017'!$B$3:$F$100,3, FALSE)</f>
        <v>290</v>
      </c>
      <c r="AD18" s="9">
        <f>VLOOKUP(B18,'2016'!$B$3:$F$100,2, FALSE)</f>
        <v>137</v>
      </c>
      <c r="AE18" s="9">
        <f>VLOOKUP(B18,'2016'!$B$3:$F$100,3, FALSE)</f>
        <v>290</v>
      </c>
      <c r="AF18" s="9">
        <f>VLOOKUP(B18,'2015'!$B$3:$F$100,2, FALSE)</f>
        <v>177.5</v>
      </c>
      <c r="AG18" s="9">
        <f>VLOOKUP(B18,'2015'!$B$3:$F$100,3, FALSE)</f>
        <v>350</v>
      </c>
    </row>
    <row r="19" spans="1:33" x14ac:dyDescent="0.25">
      <c r="A19">
        <v>15</v>
      </c>
      <c r="B19" s="25" t="s">
        <v>43</v>
      </c>
      <c r="C19" s="12">
        <f t="shared" si="1"/>
        <v>1410.5</v>
      </c>
      <c r="D19" s="12">
        <f t="shared" si="2"/>
        <v>2815</v>
      </c>
      <c r="E19" s="34">
        <f t="shared" si="3"/>
        <v>0.50106571936056843</v>
      </c>
      <c r="F19" s="12">
        <f t="shared" si="4"/>
        <v>10</v>
      </c>
      <c r="G19" s="12" t="str">
        <f>INDEX(Records!$B$4:$D$102,MATCH(B19,Records!$C$4:$C$102,0),1)</f>
        <v>11th</v>
      </c>
      <c r="H19" s="12" t="str">
        <f>INDEX(Records!$F$4:$H$102,MATCH(B19,Records!$G$4:$G$102,0),1)</f>
        <v>9th</v>
      </c>
      <c r="J19" s="9">
        <f>VLOOKUP(B19,'2026'!$B$3:$F$92,2, FALSE)</f>
        <v>87</v>
      </c>
      <c r="K19" s="9">
        <f>VLOOKUP(B19,'2026'!$B$3:$F$92,3, FALSE)</f>
        <v>180</v>
      </c>
      <c r="L19" s="9">
        <f>VLOOKUP(B19,'2025'!$B$3:$F$100,2, FALSE)</f>
        <v>132</v>
      </c>
      <c r="M19" s="9">
        <f>VLOOKUP(B19,'2025'!$B$3:$F$100,3, FALSE)</f>
        <v>285</v>
      </c>
      <c r="N19" s="9">
        <f>VLOOKUP(B19,'2024'!$B$3:$F$100,2, FALSE)</f>
        <v>149</v>
      </c>
      <c r="O19" s="9">
        <f>VLOOKUP(B19,'2024'!$B$3:$F$100,3, FALSE)</f>
        <v>310</v>
      </c>
      <c r="P19" s="9">
        <f>VLOOKUP(B19,'2023'!$B$3:$F$100,2, FALSE)</f>
        <v>154.5</v>
      </c>
      <c r="Q19" s="9">
        <f>VLOOKUP(B19,'2023'!$B$3:$F$100,3, FALSE)</f>
        <v>290</v>
      </c>
      <c r="R19" s="9">
        <f>VLOOKUP(B19,'2022'!$B$3:$F$100,2, FALSE)</f>
        <v>146.5</v>
      </c>
      <c r="S19" s="9">
        <f>VLOOKUP(B19,'2022'!$B$3:$F$100,3, FALSE)</f>
        <v>290</v>
      </c>
      <c r="T19" s="9">
        <f>VLOOKUP(B19,'2021'!$B$3:$F$100,2, FALSE)</f>
        <v>152.5</v>
      </c>
      <c r="U19" s="9">
        <f>VLOOKUP(B19,'2021'!$B$3:$F$100,3, FALSE)</f>
        <v>288</v>
      </c>
      <c r="V19" s="9">
        <f>VLOOKUP(B19,'2020'!$B$3:$F$100,2, FALSE)</f>
        <v>143</v>
      </c>
      <c r="W19" s="9">
        <f>VLOOKUP(B19,'2020'!$B$3:$F$100,3, FALSE)</f>
        <v>292</v>
      </c>
      <c r="X19" s="9">
        <f>VLOOKUP(B19,'2019'!$B$3:$F$100,2, FALSE)</f>
        <v>154.5</v>
      </c>
      <c r="Y19" s="9">
        <f>VLOOKUP(B19,'2019'!$B$3:$F$100,3, FALSE)</f>
        <v>300</v>
      </c>
      <c r="Z19" s="15"/>
      <c r="AA19" s="15"/>
      <c r="AB19" s="9">
        <f>VLOOKUP(B19,'2017'!$B$3:$F$100,2, FALSE)</f>
        <v>146.5</v>
      </c>
      <c r="AC19" s="9">
        <f>VLOOKUP(B19,'2017'!$B$3:$F$100,3, FALSE)</f>
        <v>290</v>
      </c>
      <c r="AD19" s="9">
        <f>VLOOKUP(B19,'2016'!$B$3:$F$100,2, FALSE)</f>
        <v>145</v>
      </c>
      <c r="AE19" s="9">
        <f>VLOOKUP(B19,'2016'!$B$3:$F$100,3, FALSE)</f>
        <v>290</v>
      </c>
      <c r="AF19" s="15"/>
      <c r="AG19" s="15"/>
    </row>
    <row r="20" spans="1:33" x14ac:dyDescent="0.25">
      <c r="A20">
        <v>16</v>
      </c>
      <c r="B20" s="25" t="s">
        <v>47</v>
      </c>
      <c r="C20" s="12">
        <f t="shared" si="1"/>
        <v>1185.5</v>
      </c>
      <c r="D20" s="12">
        <f t="shared" si="2"/>
        <v>2419</v>
      </c>
      <c r="E20" s="34">
        <f t="shared" si="3"/>
        <v>0.49007854485324515</v>
      </c>
      <c r="F20" s="12">
        <f t="shared" si="4"/>
        <v>9</v>
      </c>
      <c r="G20" s="12" t="str">
        <f>INDEX(Records!$B$4:$D$102,MATCH(B20,Records!$C$4:$C$102,0),1)</f>
        <v>20th</v>
      </c>
      <c r="H20" s="12" t="str">
        <f>INDEX(Records!$F$4:$H$102,MATCH(B20,Records!$G$4:$G$102,0),1)</f>
        <v>25th</v>
      </c>
      <c r="J20" s="9">
        <f>VLOOKUP(B20,'2026'!$B$3:$F$92,2, FALSE)</f>
        <v>91</v>
      </c>
      <c r="K20" s="9">
        <f>VLOOKUP(B20,'2026'!$B$3:$F$92,3, FALSE)</f>
        <v>180</v>
      </c>
      <c r="L20" s="9">
        <f>VLOOKUP(B20,'2025'!$B$3:$F$100,2, FALSE)</f>
        <v>65.5</v>
      </c>
      <c r="M20" s="9">
        <f>VLOOKUP(B20,'2025'!$B$3:$F$100,3, FALSE)</f>
        <v>139</v>
      </c>
      <c r="N20" s="15"/>
      <c r="O20" s="15"/>
      <c r="P20" s="9">
        <f>VLOOKUP(B20,'2023'!$B$3:$F$100,2, FALSE)</f>
        <v>152.5</v>
      </c>
      <c r="Q20" s="9">
        <f>VLOOKUP(B20,'2023'!$B$3:$F$100,3, FALSE)</f>
        <v>290</v>
      </c>
      <c r="R20" s="9">
        <f>VLOOKUP(B20,'2022'!$B$3:$F$100,2, FALSE)</f>
        <v>144.5</v>
      </c>
      <c r="S20" s="9">
        <f>VLOOKUP(B20,'2022'!$B$3:$F$100,3, FALSE)</f>
        <v>290</v>
      </c>
      <c r="T20" s="9">
        <f>VLOOKUP(B20,'2021'!$B$3:$F$100,2, FALSE)</f>
        <v>152.5</v>
      </c>
      <c r="U20" s="9">
        <f>VLOOKUP(B20,'2021'!$B$3:$F$100,3, FALSE)</f>
        <v>288</v>
      </c>
      <c r="V20" s="9">
        <f>VLOOKUP(B20,'2020'!$B$3:$F$100,2, FALSE)</f>
        <v>142</v>
      </c>
      <c r="W20" s="9">
        <f>VLOOKUP(B20,'2020'!$B$3:$F$100,3, FALSE)</f>
        <v>292</v>
      </c>
      <c r="X20" s="9">
        <f>VLOOKUP(B20,'2019'!$B$3:$F$100,2, FALSE)</f>
        <v>125.5</v>
      </c>
      <c r="Y20" s="9">
        <f>VLOOKUP(B20,'2019'!$B$3:$F$100,3, FALSE)</f>
        <v>300</v>
      </c>
      <c r="Z20" s="15"/>
      <c r="AA20" s="15"/>
      <c r="AB20" s="9">
        <f>VLOOKUP(B20,'2017'!$B$3:$F$100,2, FALSE)</f>
        <v>134.5</v>
      </c>
      <c r="AC20" s="9">
        <f>VLOOKUP(B20,'2017'!$B$3:$F$100,3, FALSE)</f>
        <v>290</v>
      </c>
      <c r="AD20" s="15"/>
      <c r="AE20" s="15"/>
      <c r="AF20" s="9">
        <f>VLOOKUP(B20,'2015'!$B$3:$F$100,2, FALSE)</f>
        <v>177.5</v>
      </c>
      <c r="AG20" s="9">
        <f>VLOOKUP(B20,'2015'!$B$3:$F$100,3, FALSE)</f>
        <v>350</v>
      </c>
    </row>
    <row r="21" spans="1:33" x14ac:dyDescent="0.25">
      <c r="A21">
        <v>17</v>
      </c>
      <c r="B21" s="25" t="s">
        <v>61</v>
      </c>
      <c r="C21" s="12">
        <f t="shared" si="1"/>
        <v>1314</v>
      </c>
      <c r="D21" s="12">
        <f t="shared" si="2"/>
        <v>2735</v>
      </c>
      <c r="E21" s="34">
        <f t="shared" si="3"/>
        <v>0.48043875685557585</v>
      </c>
      <c r="F21" s="12">
        <f t="shared" si="4"/>
        <v>10</v>
      </c>
      <c r="G21" s="12" t="str">
        <f>INDEX(Records!$B$4:$D$102,MATCH(B21,Records!$C$4:$C$102,0),1)</f>
        <v>14th</v>
      </c>
      <c r="H21" s="12" t="str">
        <f>INDEX(Records!$F$4:$H$102,MATCH(B21,Records!$G$4:$G$102,0),1)</f>
        <v>40th</v>
      </c>
      <c r="J21" s="9">
        <f>VLOOKUP(B21,'2026'!$B$3:$F$92,2, FALSE)</f>
        <v>80</v>
      </c>
      <c r="K21" s="9">
        <f>VLOOKUP(B21,'2026'!$B$3:$F$92,3, FALSE)</f>
        <v>180</v>
      </c>
      <c r="L21" s="9">
        <f>VLOOKUP(B21,'2025'!$B$3:$F$100,2, FALSE)</f>
        <v>128</v>
      </c>
      <c r="M21" s="9">
        <f>VLOOKUP(B21,'2025'!$B$3:$F$100,3, FALSE)</f>
        <v>285</v>
      </c>
      <c r="N21" s="9">
        <f>VLOOKUP(B21,'2024'!$B$3:$F$100,2, FALSE)</f>
        <v>153</v>
      </c>
      <c r="O21" s="9">
        <f>VLOOKUP(B21,'2024'!$B$3:$F$100,3, FALSE)</f>
        <v>310</v>
      </c>
      <c r="P21" s="9">
        <f>VLOOKUP(B21,'2023'!$B$3:$F$100,2, FALSE)</f>
        <v>136.5</v>
      </c>
      <c r="Q21" s="9">
        <f>VLOOKUP(B21,'2023'!$B$3:$F$100,3, FALSE)</f>
        <v>290</v>
      </c>
      <c r="R21" s="9">
        <f>VLOOKUP(B21,'2022'!$B$3:$F$100,2, FALSE)</f>
        <v>134.5</v>
      </c>
      <c r="S21" s="9">
        <f>VLOOKUP(B21,'2022'!$B$3:$F$100,3, FALSE)</f>
        <v>290</v>
      </c>
      <c r="T21" s="9">
        <f>VLOOKUP(B21,'2021'!$B$3:$F$100,2, FALSE)</f>
        <v>134.5</v>
      </c>
      <c r="U21" s="9">
        <f>VLOOKUP(B21,'2021'!$B$3:$F$100,3, FALSE)</f>
        <v>288</v>
      </c>
      <c r="V21" s="9">
        <f>VLOOKUP(B21,'2020'!$B$3:$F$100,2, FALSE)</f>
        <v>149</v>
      </c>
      <c r="W21" s="9">
        <f>VLOOKUP(B21,'2020'!$B$3:$F$100,3, FALSE)</f>
        <v>292</v>
      </c>
      <c r="X21" s="9">
        <f>VLOOKUP(B21,'2019'!$B$3:$F$100,2, FALSE)</f>
        <v>166.5</v>
      </c>
      <c r="Y21" s="9">
        <f>VLOOKUP(B21,'2019'!$B$3:$F$100,3, FALSE)</f>
        <v>300</v>
      </c>
      <c r="Z21" s="9">
        <f>VLOOKUP(B21,'2018'!$B$3:$F$100,2, FALSE)</f>
        <v>129.5</v>
      </c>
      <c r="AA21" s="9">
        <f>VLOOKUP(B21,'2018'!$B$3:$F$100,3, FALSE)</f>
        <v>290</v>
      </c>
      <c r="AB21" s="9">
        <f>VLOOKUP(B21,'2017'!$B$3:$F$100,2, FALSE)</f>
        <v>102.5</v>
      </c>
      <c r="AC21" s="9">
        <f>VLOOKUP(B21,'2017'!$B$3:$F$100,3, FALSE)</f>
        <v>210</v>
      </c>
      <c r="AD21" s="15"/>
      <c r="AE21" s="15"/>
      <c r="AF21" s="15"/>
      <c r="AG21" s="15"/>
    </row>
    <row r="22" spans="1:33" x14ac:dyDescent="0.25">
      <c r="A22">
        <v>18</v>
      </c>
      <c r="B22" s="25" t="s">
        <v>68</v>
      </c>
      <c r="C22" s="12">
        <f t="shared" si="1"/>
        <v>487</v>
      </c>
      <c r="D22" s="12">
        <f t="shared" si="2"/>
        <v>1019</v>
      </c>
      <c r="E22" s="34">
        <f t="shared" si="3"/>
        <v>0.47791952894995093</v>
      </c>
      <c r="F22" s="12">
        <f t="shared" si="4"/>
        <v>4</v>
      </c>
      <c r="G22" s="12" t="str">
        <f>INDEX(Records!$B$4:$D$102,MATCH(B22,Records!$C$4:$C$102,0),1)</f>
        <v>35th-T</v>
      </c>
      <c r="H22" s="12" t="str">
        <f>INDEX(Records!$F$4:$H$102,MATCH(B22,Records!$G$4:$G$102,0),1)</f>
        <v>44th</v>
      </c>
      <c r="J22" s="9">
        <f>VLOOKUP(B22,'2026'!$B$3:$F$92,2, FALSE)</f>
        <v>98</v>
      </c>
      <c r="K22" s="9">
        <f>VLOOKUP(B22,'2026'!$B$3:$F$92,3, FALSE)</f>
        <v>180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9">
        <f>VLOOKUP(B22,'2017'!$B$3:$F$100,2, FALSE)</f>
        <v>134.5</v>
      </c>
      <c r="AC22" s="9">
        <f>VLOOKUP(B22,'2017'!$B$3:$F$100,3, FALSE)</f>
        <v>290</v>
      </c>
      <c r="AD22" s="9">
        <f>VLOOKUP(B22,'2016'!$B$3:$F$100,2, FALSE)</f>
        <v>77</v>
      </c>
      <c r="AE22" s="9">
        <f>VLOOKUP(B22,'2016'!$B$3:$F$100,3, FALSE)</f>
        <v>199</v>
      </c>
      <c r="AF22" s="9">
        <f>VLOOKUP(B22,'2015'!$B$3:$F$100,2, FALSE)</f>
        <v>177.5</v>
      </c>
      <c r="AG22" s="9">
        <f>VLOOKUP(B22,'2015'!$B$3:$F$100,3, FALSE)</f>
        <v>350</v>
      </c>
    </row>
    <row r="23" spans="1:33" x14ac:dyDescent="0.25">
      <c r="A23">
        <v>19</v>
      </c>
      <c r="B23" s="25" t="s">
        <v>44</v>
      </c>
      <c r="C23" s="12">
        <f t="shared" si="1"/>
        <v>1303</v>
      </c>
      <c r="D23" s="12">
        <f t="shared" si="2"/>
        <v>2640</v>
      </c>
      <c r="E23" s="34">
        <f t="shared" si="3"/>
        <v>0.49356060606060603</v>
      </c>
      <c r="F23" s="12">
        <f t="shared" si="4"/>
        <v>9</v>
      </c>
      <c r="G23" s="12" t="str">
        <f>INDEX(Records!$B$4:$D$102,MATCH(B23,Records!$C$4:$C$102,0),1)</f>
        <v>15th</v>
      </c>
      <c r="H23" s="12" t="str">
        <f>INDEX(Records!$F$4:$H$102,MATCH(B23,Records!$G$4:$G$102,0),1)</f>
        <v>19th</v>
      </c>
      <c r="J23" s="15"/>
      <c r="K23" s="15"/>
      <c r="L23" s="15"/>
      <c r="M23" s="15"/>
      <c r="N23" s="9">
        <f>VLOOKUP(B23,'2024'!$B$3:$F$100,2, FALSE)</f>
        <v>157</v>
      </c>
      <c r="O23" s="9">
        <f>VLOOKUP(B23,'2024'!$B$3:$F$100,3, FALSE)</f>
        <v>310</v>
      </c>
      <c r="P23" s="9">
        <f>VLOOKUP(B23,'2023'!$B$3:$F$100,2, FALSE)</f>
        <v>147.5</v>
      </c>
      <c r="Q23" s="9">
        <f>VLOOKUP(B23,'2023'!$B$3:$F$100,3, FALSE)</f>
        <v>290</v>
      </c>
      <c r="R23" s="9">
        <f>VLOOKUP(B23,'2022'!$B$3:$F$100,2, FALSE)</f>
        <v>137.5</v>
      </c>
      <c r="S23" s="9">
        <f>VLOOKUP(B23,'2022'!$B$3:$F$100,3, FALSE)</f>
        <v>290</v>
      </c>
      <c r="T23" s="9">
        <f>VLOOKUP(B23,'2021'!$B$3:$F$100,2, FALSE)</f>
        <v>144.5</v>
      </c>
      <c r="U23" s="9">
        <f>VLOOKUP(B23,'2021'!$B$3:$F$100,3, FALSE)</f>
        <v>288</v>
      </c>
      <c r="V23" s="9">
        <f>VLOOKUP(B23,'2020'!$B$3:$F$100,2, FALSE)</f>
        <v>136</v>
      </c>
      <c r="W23" s="9">
        <f>VLOOKUP(B23,'2020'!$B$3:$F$100,3, FALSE)</f>
        <v>292</v>
      </c>
      <c r="X23" s="9">
        <f>VLOOKUP(B23,'2019'!$B$3:$F$100,2, FALSE)</f>
        <v>147.5</v>
      </c>
      <c r="Y23" s="9">
        <f>VLOOKUP(B23,'2019'!$B$3:$F$100,3, FALSE)</f>
        <v>300</v>
      </c>
      <c r="Z23" s="9">
        <f>VLOOKUP(B23,'2018'!$B$3:$F$100,2, FALSE)</f>
        <v>142.5</v>
      </c>
      <c r="AA23" s="9">
        <f>VLOOKUP(B23,'2018'!$B$3:$F$100,3, FALSE)</f>
        <v>290</v>
      </c>
      <c r="AB23" s="9">
        <f>VLOOKUP(B23,'2017'!$B$3:$F$100,2, FALSE)</f>
        <v>149.5</v>
      </c>
      <c r="AC23" s="9">
        <f>VLOOKUP(B23,'2017'!$B$3:$F$100,3, FALSE)</f>
        <v>290</v>
      </c>
      <c r="AD23" s="9">
        <f>VLOOKUP(B23,'2016'!$B$3:$F$100,2, FALSE)</f>
        <v>141</v>
      </c>
      <c r="AE23" s="9">
        <f>VLOOKUP(B23,'2016'!$B$3:$F$100,3, FALSE)</f>
        <v>290</v>
      </c>
      <c r="AF23" s="15"/>
      <c r="AG23" s="15"/>
    </row>
    <row r="24" spans="1:33" x14ac:dyDescent="0.25">
      <c r="A24">
        <v>20</v>
      </c>
      <c r="B24" s="25" t="s">
        <v>52</v>
      </c>
      <c r="C24" s="12">
        <f t="shared" si="1"/>
        <v>1505</v>
      </c>
      <c r="D24" s="12">
        <f t="shared" si="2"/>
        <v>3105</v>
      </c>
      <c r="E24" s="34">
        <f t="shared" si="3"/>
        <v>0.48470209339774556</v>
      </c>
      <c r="F24" s="12">
        <f t="shared" si="4"/>
        <v>11</v>
      </c>
      <c r="G24" s="12" t="str">
        <f>INDEX(Records!$B$4:$D$102,MATCH(B24,Records!$C$4:$C$102,0),1)</f>
        <v>10th</v>
      </c>
      <c r="H24" s="12" t="str">
        <f>INDEX(Records!$F$4:$H$102,MATCH(B24,Records!$G$4:$G$102,0),1)</f>
        <v>33rd</v>
      </c>
      <c r="J24" s="9">
        <f>VLOOKUP(B24,'2026'!$B$3:$F$92,2, FALSE)</f>
        <v>81</v>
      </c>
      <c r="K24" s="9">
        <f>VLOOKUP(B24,'2026'!$B$3:$F$92,3, FALSE)</f>
        <v>180</v>
      </c>
      <c r="L24" s="9">
        <f>VLOOKUP(B24,'2025'!$B$3:$F$100,2, FALSE)</f>
        <v>133</v>
      </c>
      <c r="M24" s="9">
        <f>VLOOKUP(B24,'2025'!$B$3:$F$100,3, FALSE)</f>
        <v>285</v>
      </c>
      <c r="N24" s="9">
        <f>VLOOKUP(B24,'2024'!$B$3:$F$100,2, FALSE)</f>
        <v>145</v>
      </c>
      <c r="O24" s="9">
        <f>VLOOKUP(B24,'2024'!$B$3:$F$100,3, FALSE)</f>
        <v>310</v>
      </c>
      <c r="P24" s="9">
        <f>VLOOKUP(B24,'2023'!$B$3:$F$100,2, FALSE)</f>
        <v>151.5</v>
      </c>
      <c r="Q24" s="9">
        <f>VLOOKUP(B24,'2023'!$B$3:$F$100,3, FALSE)</f>
        <v>290</v>
      </c>
      <c r="R24" s="9">
        <f>VLOOKUP(B24,'2022'!$B$3:$F$100,2, FALSE)</f>
        <v>141.5</v>
      </c>
      <c r="S24" s="9">
        <f>VLOOKUP(B24,'2022'!$B$3:$F$100,3, FALSE)</f>
        <v>290</v>
      </c>
      <c r="T24" s="9">
        <f>VLOOKUP(B24,'2021'!$B$3:$F$100,2, FALSE)</f>
        <v>144.5</v>
      </c>
      <c r="U24" s="9">
        <f>VLOOKUP(B24,'2021'!$B$3:$F$100,3, FALSE)</f>
        <v>288</v>
      </c>
      <c r="V24" s="9">
        <f>VLOOKUP(B24,'2020'!$B$3:$F$100,2, FALSE)</f>
        <v>145</v>
      </c>
      <c r="W24" s="9">
        <f>VLOOKUP(B24,'2020'!$B$3:$F$100,3, FALSE)</f>
        <v>292</v>
      </c>
      <c r="X24" s="9">
        <f>VLOOKUP(B24,'2019'!$B$3:$F$100,2, FALSE)</f>
        <v>154.5</v>
      </c>
      <c r="Y24" s="9">
        <f>VLOOKUP(B24,'2019'!$B$3:$F$100,3, FALSE)</f>
        <v>300</v>
      </c>
      <c r="Z24" s="9">
        <f>VLOOKUP(B24,'2018'!$B$3:$F$100,2, FALSE)</f>
        <v>131.5</v>
      </c>
      <c r="AA24" s="9">
        <f>VLOOKUP(B24,'2018'!$B$3:$F$100,3, FALSE)</f>
        <v>290</v>
      </c>
      <c r="AB24" s="9">
        <f>VLOOKUP(B24,'2017'!$B$3:$F$100,2, FALSE)</f>
        <v>147.5</v>
      </c>
      <c r="AC24" s="9">
        <f>VLOOKUP(B24,'2017'!$B$3:$F$100,3, FALSE)</f>
        <v>290</v>
      </c>
      <c r="AD24" s="9">
        <f>VLOOKUP(B24,'2016'!$B$3:$F$100,2, FALSE)</f>
        <v>130</v>
      </c>
      <c r="AE24" s="9">
        <f>VLOOKUP(B24,'2016'!$B$3:$F$100,3, FALSE)</f>
        <v>290</v>
      </c>
      <c r="AF24" s="15"/>
      <c r="AG24" s="15"/>
    </row>
    <row r="25" spans="1:33" x14ac:dyDescent="0.25">
      <c r="A25">
        <v>21</v>
      </c>
      <c r="B25" s="25" t="s">
        <v>60</v>
      </c>
      <c r="C25" s="12">
        <f t="shared" si="1"/>
        <v>1688.5</v>
      </c>
      <c r="D25" s="12">
        <f t="shared" si="2"/>
        <v>3455</v>
      </c>
      <c r="E25" s="34">
        <f t="shared" si="3"/>
        <v>0.488712011577424</v>
      </c>
      <c r="F25" s="12">
        <f t="shared" si="4"/>
        <v>12</v>
      </c>
      <c r="G25" s="12" t="str">
        <f>INDEX(Records!$B$4:$D$102,MATCH(B25,Records!$C$4:$C$102,0),1)</f>
        <v>5th</v>
      </c>
      <c r="H25" s="12" t="str">
        <f>INDEX(Records!$F$4:$H$102,MATCH(B25,Records!$G$4:$G$102,0),1)</f>
        <v>28th</v>
      </c>
      <c r="J25" s="9">
        <f>VLOOKUP(B25,'2026'!$B$3:$F$92,2, FALSE)</f>
        <v>82</v>
      </c>
      <c r="K25" s="9">
        <f>VLOOKUP(B25,'2026'!$B$3:$F$92,3, FALSE)</f>
        <v>180</v>
      </c>
      <c r="L25" s="9">
        <f>VLOOKUP(B25,'2025'!$B$3:$F$100,2, FALSE)</f>
        <v>153</v>
      </c>
      <c r="M25" s="9">
        <f>VLOOKUP(B25,'2025'!$B$3:$F$100,3, FALSE)</f>
        <v>285</v>
      </c>
      <c r="N25" s="9">
        <f>VLOOKUP(B25,'2024'!$B$3:$F$100,2, FALSE)</f>
        <v>129</v>
      </c>
      <c r="O25" s="9">
        <f>VLOOKUP(B25,'2024'!$B$3:$F$100,3, FALSE)</f>
        <v>310</v>
      </c>
      <c r="P25" s="9">
        <f>VLOOKUP(B25,'2023'!$B$3:$F$100,2, FALSE)</f>
        <v>144.5</v>
      </c>
      <c r="Q25" s="9">
        <f>VLOOKUP(B25,'2023'!$B$3:$F$100,3, FALSE)</f>
        <v>290</v>
      </c>
      <c r="R25" s="9">
        <f>VLOOKUP(B25,'2022'!$B$3:$F$100,2, FALSE)</f>
        <v>145.5</v>
      </c>
      <c r="S25" s="9">
        <f>VLOOKUP(B25,'2022'!$B$3:$F$100,3, FALSE)</f>
        <v>290</v>
      </c>
      <c r="T25" s="9">
        <f>VLOOKUP(B25,'2021'!$B$3:$F$100,2, FALSE)</f>
        <v>130.5</v>
      </c>
      <c r="U25" s="9">
        <f>VLOOKUP(B25,'2021'!$B$3:$F$100,3, FALSE)</f>
        <v>288</v>
      </c>
      <c r="V25" s="9">
        <f>VLOOKUP(B25,'2020'!$B$3:$F$100,2, FALSE)</f>
        <v>161</v>
      </c>
      <c r="W25" s="9">
        <f>VLOOKUP(B25,'2020'!$B$3:$F$100,3, FALSE)</f>
        <v>292</v>
      </c>
      <c r="X25" s="9">
        <f>VLOOKUP(B25,'2019'!$B$3:$F$100,2, FALSE)</f>
        <v>140.5</v>
      </c>
      <c r="Y25" s="9">
        <f>VLOOKUP(B25,'2019'!$B$3:$F$100,3, FALSE)</f>
        <v>300</v>
      </c>
      <c r="Z25" s="9">
        <f>VLOOKUP(B25,'2018'!$B$3:$F$100,2, FALSE)</f>
        <v>124.5</v>
      </c>
      <c r="AA25" s="9">
        <f>VLOOKUP(B25,'2018'!$B$3:$F$100,3, FALSE)</f>
        <v>290</v>
      </c>
      <c r="AB25" s="9">
        <f>VLOOKUP(B25,'2017'!$B$3:$F$100,2, FALSE)</f>
        <v>144.5</v>
      </c>
      <c r="AC25" s="9">
        <f>VLOOKUP(B25,'2017'!$B$3:$F$100,3, FALSE)</f>
        <v>290</v>
      </c>
      <c r="AD25" s="9">
        <f>VLOOKUP(B25,'2016'!$B$3:$F$100,2, FALSE)</f>
        <v>150</v>
      </c>
      <c r="AE25" s="9">
        <f>VLOOKUP(B25,'2016'!$B$3:$F$100,3, FALSE)</f>
        <v>290</v>
      </c>
      <c r="AF25" s="9">
        <f>VLOOKUP(B25,'2015'!$B$3:$F$100,2, FALSE)</f>
        <v>183.5</v>
      </c>
      <c r="AG25" s="9">
        <f>VLOOKUP(B25,'2015'!$B$3:$F$100,3, FALSE)</f>
        <v>350</v>
      </c>
    </row>
    <row r="26" spans="1:33" x14ac:dyDescent="0.25">
      <c r="A26">
        <v>22</v>
      </c>
      <c r="B26" s="25" t="s">
        <v>36</v>
      </c>
      <c r="C26" s="12">
        <f t="shared" si="1"/>
        <v>1225.5</v>
      </c>
      <c r="D26" s="12">
        <f t="shared" si="2"/>
        <v>2525</v>
      </c>
      <c r="E26" s="34">
        <f t="shared" si="3"/>
        <v>0.48534653465346533</v>
      </c>
      <c r="F26" s="12">
        <f t="shared" si="4"/>
        <v>9</v>
      </c>
      <c r="G26" s="12" t="str">
        <f>INDEX(Records!$B$4:$D$102,MATCH(B26,Records!$C$4:$C$102,0),1)</f>
        <v>19th</v>
      </c>
      <c r="H26" s="12" t="str">
        <f>INDEX(Records!$F$4:$H$102,MATCH(B26,Records!$G$4:$G$102,0),1)</f>
        <v>32nd</v>
      </c>
      <c r="J26" s="9">
        <f>VLOOKUP(B26,'2026'!$B$3:$F$92,2, FALSE)</f>
        <v>86</v>
      </c>
      <c r="K26" s="9">
        <f>VLOOKUP(B26,'2026'!$B$3:$F$92,3, FALSE)</f>
        <v>180</v>
      </c>
      <c r="L26" s="9">
        <f>VLOOKUP(B26,'2025'!$B$3:$F$100,2, FALSE)</f>
        <v>125</v>
      </c>
      <c r="M26" s="9">
        <f>VLOOKUP(B26,'2025'!$B$3:$F$100,3, FALSE)</f>
        <v>285</v>
      </c>
      <c r="N26" s="9">
        <f>VLOOKUP(B26,'2024'!$B$3:$F$100,2, FALSE)</f>
        <v>141</v>
      </c>
      <c r="O26" s="9">
        <f>VLOOKUP(B26,'2024'!$B$3:$F$100,3, FALSE)</f>
        <v>310</v>
      </c>
      <c r="P26" s="9">
        <f>VLOOKUP(B26,'2023'!$B$3:$F$100,2, FALSE)</f>
        <v>155.5</v>
      </c>
      <c r="Q26" s="9">
        <f>VLOOKUP(B26,'2023'!$B$3:$F$100,3, FALSE)</f>
        <v>290</v>
      </c>
      <c r="R26" s="9">
        <f>VLOOKUP(B26,'2022'!$B$3:$F$100,2, FALSE)</f>
        <v>146.5</v>
      </c>
      <c r="S26" s="9">
        <f>VLOOKUP(B26,'2022'!$B$3:$F$100,3, FALSE)</f>
        <v>290</v>
      </c>
      <c r="T26" s="9">
        <f>VLOOKUP(B26,'2021'!$B$3:$F$100,2, FALSE)</f>
        <v>158.5</v>
      </c>
      <c r="U26" s="9">
        <f>VLOOKUP(B26,'2021'!$B$3:$F$100,3, FALSE)</f>
        <v>288</v>
      </c>
      <c r="V26" s="9">
        <f>VLOOKUP(B26,'2020'!$B$3:$F$100,2, FALSE)</f>
        <v>135</v>
      </c>
      <c r="W26" s="9">
        <f>VLOOKUP(B26,'2020'!$B$3:$F$100,3, FALSE)</f>
        <v>292</v>
      </c>
      <c r="X26" s="9">
        <f>VLOOKUP(B26,'2019'!$B$3:$F$100,2, FALSE)</f>
        <v>143.5</v>
      </c>
      <c r="Y26" s="9">
        <f>VLOOKUP(B26,'2019'!$B$3:$F$100,3, FALSE)</f>
        <v>300</v>
      </c>
      <c r="Z26" s="9">
        <f>VLOOKUP(B26,'2018'!$B$3:$F$100,2, FALSE)</f>
        <v>134.5</v>
      </c>
      <c r="AA26" s="9">
        <f>VLOOKUP(B26,'2018'!$B$3:$F$100,3, FALSE)</f>
        <v>290</v>
      </c>
      <c r="AB26" s="15"/>
      <c r="AC26" s="15"/>
      <c r="AD26" s="15"/>
      <c r="AE26" s="15"/>
      <c r="AF26" s="15"/>
      <c r="AG26" s="15"/>
    </row>
    <row r="27" spans="1:33" x14ac:dyDescent="0.25">
      <c r="A27">
        <v>23</v>
      </c>
      <c r="B27" s="25" t="s">
        <v>191</v>
      </c>
      <c r="C27" s="12">
        <f t="shared" si="1"/>
        <v>691</v>
      </c>
      <c r="D27" s="12">
        <f t="shared" si="2"/>
        <v>1355</v>
      </c>
      <c r="E27" s="34">
        <f t="shared" si="3"/>
        <v>0.50996309963099629</v>
      </c>
      <c r="F27" s="12">
        <f t="shared" si="4"/>
        <v>5</v>
      </c>
      <c r="G27" s="12" t="str">
        <f>INDEX(Records!$B$4:$D$102,MATCH(B27,Records!$C$4:$C$102,0),1)</f>
        <v>26th</v>
      </c>
      <c r="H27" s="12" t="str">
        <f>INDEX(Records!$F$4:$H$102,MATCH(B27,Records!$G$4:$G$102,0),1)</f>
        <v>3rd</v>
      </c>
      <c r="J27" s="9">
        <f>VLOOKUP(B27,'2026'!$B$3:$F$92,2, FALSE)</f>
        <v>91</v>
      </c>
      <c r="K27" s="9">
        <f>VLOOKUP(B27,'2026'!$B$3:$F$92,3, FALSE)</f>
        <v>180</v>
      </c>
      <c r="L27" s="9">
        <f>VLOOKUP(B27,'2025'!$B$3:$F$100,2, FALSE)</f>
        <v>145</v>
      </c>
      <c r="M27" s="9">
        <f>VLOOKUP(B27,'2025'!$B$3:$F$100,3, FALSE)</f>
        <v>285</v>
      </c>
      <c r="N27" s="9">
        <f>VLOOKUP(B27,'2024'!$B$3:$F$100,2, FALSE)</f>
        <v>153</v>
      </c>
      <c r="O27" s="9">
        <f>VLOOKUP(B27,'2024'!$B$3:$F$100,3, FALSE)</f>
        <v>310</v>
      </c>
      <c r="P27" s="9">
        <f>VLOOKUP(B27,'2023'!$B$3:$F$100,2, FALSE)</f>
        <v>151.5</v>
      </c>
      <c r="Q27" s="9">
        <f>VLOOKUP(B27,'2023'!$B$3:$F$100,3, FALSE)</f>
        <v>290</v>
      </c>
      <c r="R27" s="9">
        <f>VLOOKUP(B27,'2022'!$B$3:$F$100,2, FALSE)</f>
        <v>150.5</v>
      </c>
      <c r="S27" s="9">
        <f>VLOOKUP(B27,'2022'!$B$3:$F$100,3, FALSE)</f>
        <v>290</v>
      </c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x14ac:dyDescent="0.25">
      <c r="A28">
        <v>24</v>
      </c>
      <c r="B28" s="25" t="s">
        <v>212</v>
      </c>
      <c r="C28" s="12">
        <f t="shared" si="1"/>
        <v>550.5</v>
      </c>
      <c r="D28" s="12">
        <f t="shared" si="2"/>
        <v>1065</v>
      </c>
      <c r="E28" s="34">
        <f t="shared" si="3"/>
        <v>0.5169014084507042</v>
      </c>
      <c r="F28" s="12">
        <f t="shared" si="4"/>
        <v>4</v>
      </c>
      <c r="G28" s="12" t="str">
        <f>INDEX(Records!$B$4:$D$102,MATCH(B28,Records!$C$4:$C$102,0),1)</f>
        <v>31st</v>
      </c>
      <c r="H28" s="12" t="str">
        <f>INDEX(Records!$F$4:$H$102,MATCH(B28,Records!$G$4:$G$102,0),1)</f>
        <v>2nd</v>
      </c>
      <c r="J28" s="9">
        <f>VLOOKUP(B28,'2026'!$B$3:$F$92,2, FALSE)</f>
        <v>87</v>
      </c>
      <c r="K28" s="9">
        <f>VLOOKUP(B28,'2026'!$B$3:$F$92,3, FALSE)</f>
        <v>180</v>
      </c>
      <c r="L28" s="9">
        <f>VLOOKUP(B28,'2025'!$B$3:$F$100,2, FALSE)</f>
        <v>145</v>
      </c>
      <c r="M28" s="9">
        <f>VLOOKUP(B28,'2025'!$B$3:$F$100,3, FALSE)</f>
        <v>285</v>
      </c>
      <c r="N28" s="9">
        <f>VLOOKUP(B28,'2024'!$B$3:$F$100,2, FALSE)</f>
        <v>154</v>
      </c>
      <c r="O28" s="9">
        <f>VLOOKUP(B28,'2024'!$B$3:$F$100,3, FALSE)</f>
        <v>310</v>
      </c>
      <c r="P28" s="9">
        <f>VLOOKUP(B28,'2023'!$B$3:$F$100,2, FALSE)</f>
        <v>164.5</v>
      </c>
      <c r="Q28" s="9">
        <f>VLOOKUP(B28,'2023'!$B$3:$F$100,3, FALSE)</f>
        <v>290</v>
      </c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x14ac:dyDescent="0.25">
      <c r="A29">
        <v>25</v>
      </c>
      <c r="B29" s="25" t="s">
        <v>195</v>
      </c>
      <c r="C29" s="12">
        <f t="shared" si="1"/>
        <v>627</v>
      </c>
      <c r="D29" s="12">
        <f t="shared" si="2"/>
        <v>1315</v>
      </c>
      <c r="E29" s="34">
        <f t="shared" si="3"/>
        <v>0.47680608365019012</v>
      </c>
      <c r="F29" s="12">
        <f t="shared" si="4"/>
        <v>5</v>
      </c>
      <c r="G29" s="12" t="str">
        <f>INDEX(Records!$B$4:$D$102,MATCH(B29,Records!$C$4:$C$102,0),1)</f>
        <v>30th</v>
      </c>
      <c r="H29" s="12" t="str">
        <f>INDEX(Records!$F$4:$H$102,MATCH(B29,Records!$G$4:$G$102,0),1)</f>
        <v>46th</v>
      </c>
      <c r="J29" s="9">
        <f>VLOOKUP(B29,'2026'!$B$3:$F$92,2, FALSE)</f>
        <v>85</v>
      </c>
      <c r="K29" s="9">
        <f>VLOOKUP(B29,'2026'!$B$3:$F$92,3, FALSE)</f>
        <v>180</v>
      </c>
      <c r="L29" s="9">
        <f>VLOOKUP(B29,'2025'!$B$3:$F$100,2, FALSE)</f>
        <v>122</v>
      </c>
      <c r="M29" s="9">
        <f>VLOOKUP(B29,'2025'!$B$3:$F$100,3, FALSE)</f>
        <v>285</v>
      </c>
      <c r="N29" s="9">
        <f>VLOOKUP(B29,'2024'!$B$3:$F$100,2, FALSE)</f>
        <v>136</v>
      </c>
      <c r="O29" s="9">
        <f>VLOOKUP(B29,'2024'!$B$3:$F$100,3, FALSE)</f>
        <v>270</v>
      </c>
      <c r="P29" s="9">
        <f>VLOOKUP(B29,'2023'!$B$3:$F$100,2, FALSE)</f>
        <v>155.5</v>
      </c>
      <c r="Q29" s="9">
        <f>VLOOKUP(B29,'2023'!$B$3:$F$100,3, FALSE)</f>
        <v>290</v>
      </c>
      <c r="R29" s="9">
        <f>VLOOKUP(B29,'2022'!$B$3:$F$100,2, FALSE)</f>
        <v>128.5</v>
      </c>
      <c r="S29" s="9">
        <f>VLOOKUP(B29,'2022'!$B$3:$F$100,3, FALSE)</f>
        <v>290</v>
      </c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x14ac:dyDescent="0.25">
      <c r="A30">
        <v>26</v>
      </c>
      <c r="B30" s="25" t="s">
        <v>57</v>
      </c>
      <c r="C30" s="12">
        <f>J30+L30+N30+P30+R30+T30+V30+X30+Z30+AB30+AD30+AF30</f>
        <v>668.5</v>
      </c>
      <c r="D30" s="12">
        <f>K30+M30+O30+Q30+S30+U30+W30+Y30+AA30+AC30+AE30+AG30</f>
        <v>1333</v>
      </c>
      <c r="E30" s="34">
        <f t="shared" si="3"/>
        <v>0.50150037509377343</v>
      </c>
      <c r="F30" s="12">
        <f t="shared" si="4"/>
        <v>5</v>
      </c>
      <c r="G30" s="12" t="str">
        <f>INDEX(Records!$B$4:$D$102,MATCH(B30,Records!$C$4:$C$102,0),1)</f>
        <v>27th</v>
      </c>
      <c r="H30" s="12" t="str">
        <f>INDEX(Records!$F$4:$H$102,MATCH(B30,Records!$G$4:$G$102,0),1)</f>
        <v>8th</v>
      </c>
      <c r="J30" s="9">
        <f>VLOOKUP(B30,'2026'!$B$3:$F$92,2, FALSE)</f>
        <v>87</v>
      </c>
      <c r="K30" s="9">
        <f>VLOOKUP(B30,'2026'!$B$3:$F$92,3, FALSE)</f>
        <v>180</v>
      </c>
      <c r="L30" s="9">
        <f>VLOOKUP(B30,'2025'!$B$3:$F$100,2, FALSE)</f>
        <v>140</v>
      </c>
      <c r="M30" s="9">
        <f>VLOOKUP(B30,'2025'!$B$3:$F$100,3, FALSE)</f>
        <v>285</v>
      </c>
      <c r="N30" s="15"/>
      <c r="O30" s="15"/>
      <c r="P30" s="9">
        <f>VLOOKUP(B30,'2023'!$B$3:$F$100,2, FALSE)</f>
        <v>144.5</v>
      </c>
      <c r="Q30" s="9">
        <f>VLOOKUP(B30,'2023'!$B$3:$F$100,3, FALSE)</f>
        <v>290</v>
      </c>
      <c r="R30" s="9">
        <f>VLOOKUP(B30,'2022'!$B$3:$F$100,2, FALSE)</f>
        <v>146.5</v>
      </c>
      <c r="S30" s="9">
        <f>VLOOKUP(B30,'2022'!$B$3:$F$100,3, FALSE)</f>
        <v>290</v>
      </c>
      <c r="T30" s="9">
        <f>VLOOKUP(B30,'2021'!$B$3:$F$100,2, FALSE)</f>
        <v>150.5</v>
      </c>
      <c r="U30" s="9">
        <f>VLOOKUP(B30,'2021'!$B$3:$F$100,3, FALSE)</f>
        <v>288</v>
      </c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x14ac:dyDescent="0.25">
      <c r="A31">
        <v>27</v>
      </c>
      <c r="B31" s="25" t="s">
        <v>66</v>
      </c>
      <c r="C31" s="12">
        <f t="shared" si="1"/>
        <v>712</v>
      </c>
      <c r="D31" s="12">
        <f t="shared" si="2"/>
        <v>1520</v>
      </c>
      <c r="E31" s="34">
        <f t="shared" si="3"/>
        <v>0.46842105263157896</v>
      </c>
      <c r="F31" s="12">
        <f t="shared" si="4"/>
        <v>5</v>
      </c>
      <c r="G31" s="12" t="str">
        <f>INDEX(Records!$B$4:$D$102,MATCH(B31,Records!$C$4:$C$102,0),1)</f>
        <v>25th</v>
      </c>
      <c r="H31" s="12" t="str">
        <f>INDEX(Records!$F$4:$H$102,MATCH(B31,Records!$G$4:$G$102,0),1)</f>
        <v>49th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9">
        <f>VLOOKUP(B31,'2019'!$B$3:$F$100,2, FALSE)</f>
        <v>157.5</v>
      </c>
      <c r="Y31" s="9">
        <f>VLOOKUP(B31,'2019'!$B$3:$F$100,3, FALSE)</f>
        <v>300</v>
      </c>
      <c r="Z31" s="9">
        <f>VLOOKUP(B31,'2018'!$B$3:$F$100,2, FALSE)</f>
        <v>131.5</v>
      </c>
      <c r="AA31" s="9">
        <f>VLOOKUP(B31,'2018'!$B$3:$F$100,3, FALSE)</f>
        <v>290</v>
      </c>
      <c r="AB31" s="9">
        <f>VLOOKUP(B31,'2017'!$B$3:$F$100,2, FALSE)</f>
        <v>111.5</v>
      </c>
      <c r="AC31" s="9">
        <f>VLOOKUP(B31,'2017'!$B$3:$F$100,3, FALSE)</f>
        <v>290</v>
      </c>
      <c r="AD31" s="9">
        <f>VLOOKUP(B31,'2016'!$B$3:$F$100,2, FALSE)</f>
        <v>130</v>
      </c>
      <c r="AE31" s="9">
        <f>VLOOKUP(B31,'2016'!$B$3:$F$100,3, FALSE)</f>
        <v>290</v>
      </c>
      <c r="AF31" s="9">
        <f>VLOOKUP(B31,'2015'!$B$3:$F$100,2, FALSE)</f>
        <v>181.5</v>
      </c>
      <c r="AG31" s="9">
        <f>VLOOKUP(B31,'2015'!$B$3:$F$100,3, FALSE)</f>
        <v>350</v>
      </c>
    </row>
    <row r="32" spans="1:33" x14ac:dyDescent="0.25">
      <c r="A32">
        <v>28</v>
      </c>
      <c r="B32" s="25" t="s">
        <v>238</v>
      </c>
      <c r="C32" s="12">
        <f t="shared" si="1"/>
        <v>153.5</v>
      </c>
      <c r="D32" s="12">
        <f t="shared" si="2"/>
        <v>404</v>
      </c>
      <c r="E32" s="34">
        <f t="shared" si="3"/>
        <v>0.37995049504950495</v>
      </c>
      <c r="F32" s="12">
        <f t="shared" si="4"/>
        <v>2</v>
      </c>
      <c r="G32" s="12" t="str">
        <f>INDEX(Records!$B$4:$D$102,MATCH(B32,Records!$C$4:$C$102,0),1)</f>
        <v>56th</v>
      </c>
      <c r="H32" s="12" t="str">
        <f>INDEX(Records!$F$4:$H$102,MATCH(B32,Records!$G$4:$G$102,0),1)</f>
        <v>70th</v>
      </c>
      <c r="J32" s="9">
        <f>VLOOKUP(B32,'2026'!$B$3:$F$92,2, FALSE)</f>
        <v>40.5</v>
      </c>
      <c r="K32" s="9">
        <f>VLOOKUP(B32,'2026'!$B$3:$F$92,3, FALSE)</f>
        <v>140</v>
      </c>
      <c r="L32" s="15"/>
      <c r="M32" s="15"/>
      <c r="N32" s="9">
        <f>VLOOKUP(B32,'2024'!$B$3:$F$100,2, FALSE)</f>
        <v>113</v>
      </c>
      <c r="O32" s="9">
        <f>VLOOKUP(B32,'2024'!$B$3:$F$100,3, FALSE)</f>
        <v>264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x14ac:dyDescent="0.25">
      <c r="A33">
        <v>29</v>
      </c>
      <c r="B33" s="25" t="s">
        <v>38</v>
      </c>
      <c r="C33" s="12">
        <f>J33+L33+N33+P33+R33+T33+V33+X33+Z33+AB33+AD33+AF33</f>
        <v>726</v>
      </c>
      <c r="D33" s="12">
        <f>K33+M33+O33+Q33+S33+U33+W33+Y33+AA33+AC33+AE33+AG33</f>
        <v>1550</v>
      </c>
      <c r="E33" s="34">
        <f t="shared" si="3"/>
        <v>0.46838709677419355</v>
      </c>
      <c r="F33" s="12">
        <f>COUNT(J33:AAM33)/2</f>
        <v>6</v>
      </c>
      <c r="G33" s="12" t="str">
        <f>INDEX(Records!$B$4:$D$102,MATCH(B33,Records!$C$4:$C$102,0),1)</f>
        <v>24th</v>
      </c>
      <c r="H33" s="12" t="str">
        <f>INDEX(Records!$F$4:$H$102,MATCH(B33,Records!$G$4:$G$102,0),1)</f>
        <v>50th</v>
      </c>
      <c r="J33" s="15"/>
      <c r="K33" s="15"/>
      <c r="L33" s="15"/>
      <c r="M33" s="15"/>
      <c r="N33" s="15"/>
      <c r="O33" s="15"/>
      <c r="P33" s="9">
        <f>VLOOKUP(B33,'2023'!$B$3:$F$100,2, FALSE)</f>
        <v>144.5</v>
      </c>
      <c r="Q33" s="9">
        <f>VLOOKUP(B33,'2023'!$B$3:$F$100,3, FALSE)</f>
        <v>290</v>
      </c>
      <c r="R33" s="9">
        <f>VLOOKUP(B33,'2022'!$B$3:$F$100,2, FALSE)</f>
        <v>128.5</v>
      </c>
      <c r="S33" s="9">
        <f>VLOOKUP(B33,'2022'!$B$3:$F$100,3, FALSE)</f>
        <v>290</v>
      </c>
      <c r="T33" s="9">
        <f>VLOOKUP(B33,'2021'!$B$3:$F$100,2, FALSE)</f>
        <v>146.5</v>
      </c>
      <c r="U33" s="9">
        <f>VLOOKUP(B33,'2021'!$B$3:$F$100,3, FALSE)</f>
        <v>288</v>
      </c>
      <c r="V33" s="9">
        <f>VLOOKUP(B33,'2020'!$B$3:$F$100,2, FALSE)</f>
        <v>121</v>
      </c>
      <c r="W33" s="9">
        <f>VLOOKUP(B33,'2020'!$B$3:$F$100,3, FALSE)</f>
        <v>292</v>
      </c>
      <c r="X33" s="9">
        <f>VLOOKUP(B33,'2019'!$B$3:$F$100,2, FALSE)</f>
        <v>148.5</v>
      </c>
      <c r="Y33" s="9">
        <f>VLOOKUP(B33,'2019'!$B$3:$F$100,3, FALSE)</f>
        <v>300</v>
      </c>
      <c r="Z33" s="15"/>
      <c r="AA33" s="15"/>
      <c r="AB33" s="9">
        <f>VLOOKUP(B33,'2017'!$B$3:$F$100,2, FALSE)</f>
        <v>37</v>
      </c>
      <c r="AC33" s="9">
        <f>VLOOKUP(B33,'2017'!$B$3:$F$100,3, FALSE)</f>
        <v>90</v>
      </c>
      <c r="AD33" s="15"/>
      <c r="AE33" s="15"/>
      <c r="AF33" s="15"/>
      <c r="AG33" s="15"/>
    </row>
    <row r="34" spans="1:33" x14ac:dyDescent="0.25">
      <c r="A34">
        <v>30</v>
      </c>
      <c r="B34" s="25" t="s">
        <v>41</v>
      </c>
      <c r="C34" s="12">
        <f t="shared" si="1"/>
        <v>857.5</v>
      </c>
      <c r="D34" s="12">
        <f t="shared" si="2"/>
        <v>1755</v>
      </c>
      <c r="E34" s="34">
        <f t="shared" si="3"/>
        <v>0.48860398860398863</v>
      </c>
      <c r="F34" s="12">
        <f t="shared" si="4"/>
        <v>6</v>
      </c>
      <c r="G34" s="12" t="str">
        <f>INDEX(Records!$B$4:$D$102,MATCH(B34,Records!$C$4:$C$102,0),1)</f>
        <v>22nd</v>
      </c>
      <c r="H34" s="12" t="str">
        <f>INDEX(Records!$F$4:$H$102,MATCH(B34,Records!$G$4:$G$102,0),1)</f>
        <v>29th</v>
      </c>
      <c r="J34" s="15"/>
      <c r="K34" s="15"/>
      <c r="L34" s="9">
        <f>VLOOKUP(B34,'2025'!$B$3:$F$100,2, FALSE)</f>
        <v>133</v>
      </c>
      <c r="M34" s="9">
        <f>VLOOKUP(B34,'2025'!$B$3:$F$100,3, FALSE)</f>
        <v>285</v>
      </c>
      <c r="N34" s="9">
        <f>VLOOKUP(B34,'2024'!$B$3:$F$100,2, FALSE)</f>
        <v>154</v>
      </c>
      <c r="O34" s="9">
        <f>VLOOKUP(B34,'2024'!$B$3:$F$100,3, FALSE)</f>
        <v>310</v>
      </c>
      <c r="P34" s="9">
        <f>VLOOKUP(B34,'2023'!$B$3:$F$100,2, FALSE)</f>
        <v>146.5</v>
      </c>
      <c r="Q34" s="9">
        <f>VLOOKUP(B34,'2023'!$B$3:$F$100,3, FALSE)</f>
        <v>290</v>
      </c>
      <c r="R34" s="9">
        <f>VLOOKUP(B34,'2022'!$B$3:$F$100,2, FALSE)</f>
        <v>142.5</v>
      </c>
      <c r="S34" s="9">
        <f>VLOOKUP(B34,'2022'!$B$3:$F$100,3, FALSE)</f>
        <v>290</v>
      </c>
      <c r="T34" s="9">
        <f>VLOOKUP(B34,'2021'!$B$3:$F$100,2, FALSE)</f>
        <v>140.5</v>
      </c>
      <c r="U34" s="9">
        <f>VLOOKUP(B34,'2021'!$B$3:$F$100,3, FALSE)</f>
        <v>288</v>
      </c>
      <c r="V34" s="9">
        <f>VLOOKUP(B34,'2020'!$B$3:$F$100,2, FALSE)</f>
        <v>141</v>
      </c>
      <c r="W34" s="9">
        <f>VLOOKUP(B34,'2020'!$B$3:$F$100,3, FALSE)</f>
        <v>292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x14ac:dyDescent="0.25">
      <c r="A35">
        <v>31</v>
      </c>
      <c r="B35" s="25" t="s">
        <v>268</v>
      </c>
      <c r="C35" s="12">
        <f t="shared" si="1"/>
        <v>222</v>
      </c>
      <c r="D35" s="12">
        <f t="shared" si="2"/>
        <v>465</v>
      </c>
      <c r="E35" s="34">
        <f t="shared" si="3"/>
        <v>0.47741935483870968</v>
      </c>
      <c r="F35" s="12">
        <f t="shared" si="4"/>
        <v>2</v>
      </c>
      <c r="G35" s="12" t="str">
        <f>INDEX(Records!$B$4:$D$102,MATCH(B35,Records!$C$4:$C$102,0),1)</f>
        <v>49th</v>
      </c>
      <c r="H35" s="12" t="str">
        <f>INDEX(Records!$F$4:$H$102,MATCH(B35,Records!$G$4:$G$102,0),1)</f>
        <v>45th</v>
      </c>
      <c r="J35" s="9">
        <f>VLOOKUP(B35,'2026'!$B$3:$F$92,2, FALSE)</f>
        <v>92</v>
      </c>
      <c r="K35" s="9">
        <f>VLOOKUP(B35,'2026'!$B$3:$F$92,3, FALSE)</f>
        <v>180</v>
      </c>
      <c r="L35" s="9">
        <f>VLOOKUP(B35,'2025'!$B$3:$F$100,2, FALSE)</f>
        <v>130</v>
      </c>
      <c r="M35" s="9">
        <f>VLOOKUP(B35,'2025'!$B$3:$F$100,3, FALSE)</f>
        <v>285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x14ac:dyDescent="0.25">
      <c r="A36">
        <v>32</v>
      </c>
      <c r="B36" s="25" t="s">
        <v>71</v>
      </c>
      <c r="C36" s="12">
        <f t="shared" si="1"/>
        <v>171.5</v>
      </c>
      <c r="D36" s="12">
        <f t="shared" si="2"/>
        <v>350</v>
      </c>
      <c r="E36" s="34">
        <f t="shared" si="3"/>
        <v>0.49</v>
      </c>
      <c r="F36" s="12">
        <f t="shared" si="4"/>
        <v>1</v>
      </c>
      <c r="G36" s="12" t="str">
        <f>INDEX(Records!$B$4:$D$102,MATCH(B36,Records!$C$4:$C$102,0),1)</f>
        <v>53rd</v>
      </c>
      <c r="H36" s="12" t="str">
        <f>INDEX(Records!$F$4:$H$102,MATCH(B36,Records!$G$4:$G$102,0),1)</f>
        <v>26th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9">
        <f>VLOOKUP(B36,'2015'!$B$3:$F$100,2, FALSE)</f>
        <v>171.5</v>
      </c>
      <c r="AG36" s="9">
        <f>VLOOKUP(B36,'2015'!$B$3:$F$100,3, FALSE)</f>
        <v>350</v>
      </c>
    </row>
    <row r="37" spans="1:33" x14ac:dyDescent="0.25">
      <c r="A37">
        <v>33</v>
      </c>
      <c r="B37" s="25" t="s">
        <v>62</v>
      </c>
      <c r="C37" s="12">
        <f t="shared" si="1"/>
        <v>1276</v>
      </c>
      <c r="D37" s="12">
        <f t="shared" si="2"/>
        <v>2665</v>
      </c>
      <c r="E37" s="34">
        <f t="shared" si="3"/>
        <v>0.47879924953095687</v>
      </c>
      <c r="F37" s="12">
        <f t="shared" si="4"/>
        <v>10</v>
      </c>
      <c r="G37" s="12" t="str">
        <f>INDEX(Records!$B$4:$D$102,MATCH(B37,Records!$C$4:$C$102,0),1)</f>
        <v>16th</v>
      </c>
      <c r="H37" s="12" t="str">
        <f>INDEX(Records!$F$4:$H$102,MATCH(B37,Records!$G$4:$G$102,0),1)</f>
        <v>43rd</v>
      </c>
      <c r="J37" s="9">
        <f>VLOOKUP(B37,'2026'!$B$3:$F$92,2, FALSE)</f>
        <v>89</v>
      </c>
      <c r="K37" s="9">
        <f>VLOOKUP(B37,'2026'!$B$3:$F$92,3, FALSE)</f>
        <v>180</v>
      </c>
      <c r="L37" s="9">
        <f>VLOOKUP(B37,'2025'!$B$3:$F$100,2, FALSE)</f>
        <v>148</v>
      </c>
      <c r="M37" s="9">
        <f>VLOOKUP(B37,'2025'!$B$3:$F$100,3, FALSE)</f>
        <v>285</v>
      </c>
      <c r="N37" s="9">
        <f>VLOOKUP(B37,'2024'!$B$3:$F$100,2, FALSE)</f>
        <v>151</v>
      </c>
      <c r="O37" s="9">
        <f>VLOOKUP(B37,'2024'!$B$3:$F$100,3, FALSE)</f>
        <v>310</v>
      </c>
      <c r="P37" s="9">
        <f>VLOOKUP(B37,'2023'!$B$3:$F$100,2, FALSE)</f>
        <v>145.5</v>
      </c>
      <c r="Q37" s="9">
        <f>VLOOKUP(B37,'2023'!$B$3:$F$100,3, FALSE)</f>
        <v>290</v>
      </c>
      <c r="R37" s="9">
        <f>VLOOKUP(B37,'2022'!$B$3:$F$100,2, FALSE)</f>
        <v>132.5</v>
      </c>
      <c r="S37" s="9">
        <f>VLOOKUP(B37,'2022'!$B$3:$F$100,3, FALSE)</f>
        <v>290</v>
      </c>
      <c r="T37" s="9">
        <f>VLOOKUP(B37,'2021'!$B$3:$F$100,2, FALSE)</f>
        <v>125.5</v>
      </c>
      <c r="U37" s="9">
        <f>VLOOKUP(B37,'2021'!$B$3:$F$100,3, FALSE)</f>
        <v>288</v>
      </c>
      <c r="V37" s="9">
        <f>VLOOKUP(B37,'2020'!$B$3:$F$100,2, FALSE)</f>
        <v>159</v>
      </c>
      <c r="W37" s="9">
        <f>VLOOKUP(B37,'2020'!$B$3:$F$100,3, FALSE)</f>
        <v>292</v>
      </c>
      <c r="X37" s="15"/>
      <c r="Y37" s="15"/>
      <c r="Z37" s="15"/>
      <c r="AA37" s="15"/>
      <c r="AB37" s="9">
        <f>VLOOKUP(B37,'2017'!$B$3:$F$100,2, FALSE)</f>
        <v>138.5</v>
      </c>
      <c r="AC37" s="9">
        <f>VLOOKUP(B37,'2017'!$B$3:$F$100,3, FALSE)</f>
        <v>290</v>
      </c>
      <c r="AD37" s="9">
        <f>VLOOKUP(B37,'2016'!$B$3:$F$100,2, FALSE)</f>
        <v>138</v>
      </c>
      <c r="AE37" s="9">
        <f>VLOOKUP(B37,'2016'!$B$3:$F$100,3, FALSE)</f>
        <v>290</v>
      </c>
      <c r="AF37" s="9">
        <f>VLOOKUP(B37,'2015'!$B$3:$F$100,2, FALSE)</f>
        <v>49</v>
      </c>
      <c r="AG37" s="9">
        <f>VLOOKUP(B37,'2015'!$B$3:$F$100,3, FALSE)</f>
        <v>150</v>
      </c>
    </row>
    <row r="38" spans="1:33" x14ac:dyDescent="0.25">
      <c r="A38">
        <v>34</v>
      </c>
      <c r="B38" s="25" t="s">
        <v>49</v>
      </c>
      <c r="C38" s="12">
        <f t="shared" si="1"/>
        <v>140.5</v>
      </c>
      <c r="D38" s="12">
        <f t="shared" si="2"/>
        <v>288</v>
      </c>
      <c r="E38" s="34">
        <f t="shared" si="3"/>
        <v>0.48784722222222221</v>
      </c>
      <c r="F38" s="12">
        <f t="shared" si="4"/>
        <v>1</v>
      </c>
      <c r="G38" s="12" t="str">
        <f>INDEX(Records!$B$4:$D$102,MATCH(B38,Records!$C$4:$C$102,0),1)</f>
        <v>60th-T</v>
      </c>
      <c r="H38" s="12" t="str">
        <f>INDEX(Records!$F$4:$H$102,MATCH(B38,Records!$G$4:$G$102,0),1)</f>
        <v>31st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>
        <f>VLOOKUP(B38,'2021'!$B$3:$F$100,2, FALSE)</f>
        <v>140.5</v>
      </c>
      <c r="U38" s="9">
        <f>VLOOKUP(B38,'2021'!$B$3:$F$100,3, FALSE)</f>
        <v>288</v>
      </c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x14ac:dyDescent="0.25">
      <c r="A39">
        <v>35</v>
      </c>
      <c r="B39" s="25" t="s">
        <v>42</v>
      </c>
      <c r="C39" s="12">
        <f t="shared" si="1"/>
        <v>1391</v>
      </c>
      <c r="D39" s="12">
        <f t="shared" si="2"/>
        <v>2777</v>
      </c>
      <c r="E39" s="34">
        <f t="shared" si="3"/>
        <v>0.50090025207057975</v>
      </c>
      <c r="F39" s="12">
        <f t="shared" si="4"/>
        <v>10</v>
      </c>
      <c r="G39" s="12" t="str">
        <f>INDEX(Records!$B$4:$D$102,MATCH(B39,Records!$C$4:$C$102,0),1)</f>
        <v>12th</v>
      </c>
      <c r="H39" s="12" t="str">
        <f>INDEX(Records!$F$4:$H$102,MATCH(B39,Records!$G$4:$G$102,0),1)</f>
        <v>10th</v>
      </c>
      <c r="J39" s="9">
        <f>VLOOKUP(B39,'2026'!$B$3:$F$92,2, FALSE)</f>
        <v>86</v>
      </c>
      <c r="K39" s="9">
        <f>VLOOKUP(B39,'2026'!$B$3:$F$92,3, FALSE)</f>
        <v>180</v>
      </c>
      <c r="L39" s="9">
        <f>VLOOKUP(B39,'2025'!$B$3:$F$100,2, FALSE)</f>
        <v>135</v>
      </c>
      <c r="M39" s="9">
        <f>VLOOKUP(B39,'2025'!$B$3:$F$100,3, FALSE)</f>
        <v>285</v>
      </c>
      <c r="N39" s="9">
        <f>VLOOKUP(B39,'2024'!$B$3:$F$100,2, FALSE)</f>
        <v>148</v>
      </c>
      <c r="O39" s="9">
        <f>VLOOKUP(B39,'2024'!$B$3:$F$100,3, FALSE)</f>
        <v>310</v>
      </c>
      <c r="P39" s="9">
        <f>VLOOKUP(B39,'2023'!$B$3:$F$100,2, FALSE)</f>
        <v>147.5</v>
      </c>
      <c r="Q39" s="9">
        <f>VLOOKUP(B39,'2023'!$B$3:$F$100,3, FALSE)</f>
        <v>290</v>
      </c>
      <c r="R39" s="9">
        <f>VLOOKUP(B39,'2022'!$B$3:$F$100,2, FALSE)</f>
        <v>152.5</v>
      </c>
      <c r="S39" s="9">
        <f>VLOOKUP(B39,'2022'!$B$3:$F$100,3, FALSE)</f>
        <v>290</v>
      </c>
      <c r="T39" s="9">
        <f>VLOOKUP(B39,'2021'!$B$3:$F$100,2, FALSE)</f>
        <v>153.5</v>
      </c>
      <c r="U39" s="9">
        <f>VLOOKUP(B39,'2021'!$B$3:$F$100,3, FALSE)</f>
        <v>288</v>
      </c>
      <c r="V39" s="9">
        <f>VLOOKUP(B39,'2020'!$B$3:$F$100,2, FALSE)</f>
        <v>134</v>
      </c>
      <c r="W39" s="9">
        <f>VLOOKUP(B39,'2020'!$B$3:$F$100,3, FALSE)</f>
        <v>292</v>
      </c>
      <c r="X39" s="9">
        <f>VLOOKUP(B39,'2019'!$B$3:$F$100,2, FALSE)</f>
        <v>167.5</v>
      </c>
      <c r="Y39" s="9">
        <f>VLOOKUP(B39,'2019'!$B$3:$F$100,3, FALSE)</f>
        <v>300</v>
      </c>
      <c r="Z39" s="9">
        <f>VLOOKUP(B39,'2018'!$B$3:$F$100,2, FALSE)</f>
        <v>140.5</v>
      </c>
      <c r="AA39" s="9">
        <f>VLOOKUP(B39,'2018'!$B$3:$F$100,3, FALSE)</f>
        <v>290</v>
      </c>
      <c r="AB39" s="9">
        <f>VLOOKUP(B39,'2017'!$B$3:$F$100,2, FALSE)</f>
        <v>126.5</v>
      </c>
      <c r="AC39" s="9">
        <f>VLOOKUP(B39,'2017'!$B$3:$F$100,3, FALSE)</f>
        <v>252</v>
      </c>
      <c r="AD39" s="15"/>
      <c r="AE39" s="15"/>
      <c r="AF39" s="15"/>
      <c r="AG39" s="15"/>
    </row>
    <row r="40" spans="1:33" x14ac:dyDescent="0.25">
      <c r="A40">
        <v>36</v>
      </c>
      <c r="B40" s="25" t="s">
        <v>40</v>
      </c>
      <c r="C40" s="12">
        <f t="shared" si="1"/>
        <v>1687.5</v>
      </c>
      <c r="D40" s="12">
        <f t="shared" si="2"/>
        <v>3455</v>
      </c>
      <c r="E40" s="34">
        <f t="shared" si="3"/>
        <v>0.48842257597684513</v>
      </c>
      <c r="F40" s="12">
        <f t="shared" si="4"/>
        <v>12</v>
      </c>
      <c r="G40" s="12" t="str">
        <f>INDEX(Records!$B$4:$D$102,MATCH(B40,Records!$C$4:$C$102,0),1)</f>
        <v>6th</v>
      </c>
      <c r="H40" s="12" t="str">
        <f>INDEX(Records!$F$4:$H$102,MATCH(B40,Records!$G$4:$G$102,0),1)</f>
        <v>30th</v>
      </c>
      <c r="J40" s="9">
        <f>VLOOKUP(B40,'2026'!$B$3:$F$92,2, FALSE)</f>
        <v>81</v>
      </c>
      <c r="K40" s="9">
        <f>VLOOKUP(B40,'2026'!$B$3:$F$92,3, FALSE)</f>
        <v>180</v>
      </c>
      <c r="L40" s="9">
        <f>VLOOKUP(B40,'2025'!$B$3:$F$100,2, FALSE)</f>
        <v>145</v>
      </c>
      <c r="M40" s="9">
        <f>VLOOKUP(B40,'2025'!$B$3:$F$100,3, FALSE)</f>
        <v>285</v>
      </c>
      <c r="N40" s="9">
        <f>VLOOKUP(B40,'2024'!$B$3:$F$100,2, FALSE)</f>
        <v>152</v>
      </c>
      <c r="O40" s="9">
        <f>VLOOKUP(B40,'2024'!$B$3:$F$100,3, FALSE)</f>
        <v>310</v>
      </c>
      <c r="P40" s="9">
        <f>VLOOKUP(B40,'2023'!$B$3:$F$100,2, FALSE)</f>
        <v>148.5</v>
      </c>
      <c r="Q40" s="9">
        <f>VLOOKUP(B40,'2023'!$B$3:$F$100,3, FALSE)</f>
        <v>290</v>
      </c>
      <c r="R40" s="9">
        <f>VLOOKUP(B40,'2022'!$B$3:$F$100,2, FALSE)</f>
        <v>133.5</v>
      </c>
      <c r="S40" s="9">
        <f>VLOOKUP(B40,'2022'!$B$3:$F$100,3, FALSE)</f>
        <v>290</v>
      </c>
      <c r="T40" s="9">
        <f>VLOOKUP(B40,'2021'!$B$3:$F$100,2, FALSE)</f>
        <v>144.5</v>
      </c>
      <c r="U40" s="9">
        <f>VLOOKUP(B40,'2021'!$B$3:$F$100,3, FALSE)</f>
        <v>288</v>
      </c>
      <c r="V40" s="9">
        <f>VLOOKUP(B40,'2020'!$B$3:$F$100,2, FALSE)</f>
        <v>144</v>
      </c>
      <c r="W40" s="9">
        <f>VLOOKUP(B40,'2020'!$B$3:$F$100,3, FALSE)</f>
        <v>292</v>
      </c>
      <c r="X40" s="9">
        <f>VLOOKUP(B40,'2019'!$B$3:$F$100,2, FALSE)</f>
        <v>141.5</v>
      </c>
      <c r="Y40" s="9">
        <f>VLOOKUP(B40,'2019'!$B$3:$F$100,3, FALSE)</f>
        <v>300</v>
      </c>
      <c r="Z40" s="9">
        <f>VLOOKUP(B40,'2018'!$B$3:$F$100,2, FALSE)</f>
        <v>132.5</v>
      </c>
      <c r="AA40" s="9">
        <f>VLOOKUP(B40,'2018'!$B$3:$F$100,3, FALSE)</f>
        <v>290</v>
      </c>
      <c r="AB40" s="9">
        <f>VLOOKUP(B40,'2017'!$B$3:$F$100,2, FALSE)</f>
        <v>137.5</v>
      </c>
      <c r="AC40" s="9">
        <f>VLOOKUP(B40,'2017'!$B$3:$F$100,3, FALSE)</f>
        <v>290</v>
      </c>
      <c r="AD40" s="9">
        <f>VLOOKUP(B40,'2016'!$B$3:$F$100,2, FALSE)</f>
        <v>152</v>
      </c>
      <c r="AE40" s="9">
        <f>VLOOKUP(B40,'2016'!$B$3:$F$100,3, FALSE)</f>
        <v>290</v>
      </c>
      <c r="AF40" s="9">
        <f>VLOOKUP(B40,'2015'!$B$3:$F$100,2, FALSE)</f>
        <v>175.5</v>
      </c>
      <c r="AG40" s="9">
        <f>VLOOKUP(B40,'2015'!$B$3:$F$100,3, FALSE)</f>
        <v>350</v>
      </c>
    </row>
    <row r="41" spans="1:33" x14ac:dyDescent="0.25">
      <c r="A41">
        <v>37</v>
      </c>
      <c r="B41" s="25" t="s">
        <v>192</v>
      </c>
      <c r="C41" s="12">
        <f t="shared" si="1"/>
        <v>132.5</v>
      </c>
      <c r="D41" s="12">
        <f t="shared" si="2"/>
        <v>290</v>
      </c>
      <c r="E41" s="34">
        <f t="shared" si="3"/>
        <v>0.45689655172413796</v>
      </c>
      <c r="F41" s="12">
        <f t="shared" si="4"/>
        <v>1</v>
      </c>
      <c r="G41" s="12" t="str">
        <f>INDEX(Records!$B$4:$D$102,MATCH(B41,Records!$C$4:$C$102,0),1)</f>
        <v>65th</v>
      </c>
      <c r="H41" s="12" t="str">
        <f>INDEX(Records!$F$4:$H$102,MATCH(B41,Records!$G$4:$G$102,0),1)</f>
        <v>57th</v>
      </c>
      <c r="J41" s="15"/>
      <c r="K41" s="15"/>
      <c r="L41" s="15"/>
      <c r="M41" s="15"/>
      <c r="N41" s="15"/>
      <c r="O41" s="15"/>
      <c r="P41" s="15"/>
      <c r="Q41" s="15"/>
      <c r="R41" s="9">
        <f>VLOOKUP(B41,'2022'!$B$3:$F$100,2, FALSE)</f>
        <v>132.5</v>
      </c>
      <c r="S41" s="9">
        <f>VLOOKUP(B41,'2022'!$B$3:$F$100,3, FALSE)</f>
        <v>290</v>
      </c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x14ac:dyDescent="0.25">
      <c r="A42">
        <v>38</v>
      </c>
      <c r="B42" s="25" t="s">
        <v>56</v>
      </c>
      <c r="C42" s="12">
        <f t="shared" si="1"/>
        <v>1668.5</v>
      </c>
      <c r="D42" s="12">
        <f t="shared" si="2"/>
        <v>3455</v>
      </c>
      <c r="E42" s="34">
        <f t="shared" si="3"/>
        <v>0.48292329956584662</v>
      </c>
      <c r="F42" s="12">
        <f t="shared" si="4"/>
        <v>12</v>
      </c>
      <c r="G42" s="12" t="str">
        <f>INDEX(Records!$B$4:$D$102,MATCH(B42,Records!$C$4:$C$102,0),1)</f>
        <v>7th</v>
      </c>
      <c r="H42" s="12" t="str">
        <f>INDEX(Records!$F$4:$H$102,MATCH(B42,Records!$G$4:$G$102,0),1)</f>
        <v>35th</v>
      </c>
      <c r="J42" s="9">
        <f>VLOOKUP(B42,'2026'!$B$3:$F$92,2, FALSE)</f>
        <v>85</v>
      </c>
      <c r="K42" s="9">
        <f>VLOOKUP(B42,'2026'!$B$3:$F$92,3, FALSE)</f>
        <v>180</v>
      </c>
      <c r="L42" s="9">
        <f>VLOOKUP(B42,'2025'!$B$3:$F$100,2, FALSE)</f>
        <v>129</v>
      </c>
      <c r="M42" s="9">
        <f>VLOOKUP(B42,'2025'!$B$3:$F$100,3, FALSE)</f>
        <v>285</v>
      </c>
      <c r="N42" s="9">
        <f>VLOOKUP(B42,'2024'!$B$3:$F$100,2, FALSE)</f>
        <v>150</v>
      </c>
      <c r="O42" s="9">
        <f>VLOOKUP(B42,'2024'!$B$3:$F$100,3, FALSE)</f>
        <v>310</v>
      </c>
      <c r="P42" s="9">
        <f>VLOOKUP(B42,'2023'!$B$3:$F$100,2, FALSE)</f>
        <v>146.5</v>
      </c>
      <c r="Q42" s="9">
        <f>VLOOKUP(B42,'2023'!$B$3:$F$100,3, FALSE)</f>
        <v>290</v>
      </c>
      <c r="R42" s="9">
        <f>VLOOKUP(B42,'2022'!$B$3:$F$100,2, FALSE)</f>
        <v>132.5</v>
      </c>
      <c r="S42" s="9">
        <f>VLOOKUP(B42,'2022'!$B$3:$F$100,3, FALSE)</f>
        <v>290</v>
      </c>
      <c r="T42" s="9">
        <f>VLOOKUP(B42,'2021'!$B$3:$F$100,2, FALSE)</f>
        <v>139.5</v>
      </c>
      <c r="U42" s="9">
        <f>VLOOKUP(B42,'2021'!$B$3:$F$100,3, FALSE)</f>
        <v>288</v>
      </c>
      <c r="V42" s="9">
        <f>VLOOKUP(B42,'2020'!$B$3:$F$100,2, FALSE)</f>
        <v>144</v>
      </c>
      <c r="W42" s="9">
        <f>VLOOKUP(B42,'2020'!$B$3:$F$100,3, FALSE)</f>
        <v>292</v>
      </c>
      <c r="X42" s="9">
        <f>VLOOKUP(B42,'2019'!$B$3:$F$100,2, FALSE)</f>
        <v>133.5</v>
      </c>
      <c r="Y42" s="9">
        <f>VLOOKUP(B42,'2019'!$B$3:$F$100,3, FALSE)</f>
        <v>300</v>
      </c>
      <c r="Z42" s="9">
        <f>VLOOKUP(B42,'2018'!$B$3:$F$100,2, FALSE)</f>
        <v>129.5</v>
      </c>
      <c r="AA42" s="9">
        <f>VLOOKUP(B42,'2018'!$B$3:$F$100,3, FALSE)</f>
        <v>290</v>
      </c>
      <c r="AB42" s="9">
        <f>VLOOKUP(B42,'2017'!$B$3:$F$100,2, FALSE)</f>
        <v>146.5</v>
      </c>
      <c r="AC42" s="9">
        <f>VLOOKUP(B42,'2017'!$B$3:$F$100,3, FALSE)</f>
        <v>290</v>
      </c>
      <c r="AD42" s="9">
        <f>VLOOKUP(B42,'2016'!$B$3:$F$100,2, FALSE)</f>
        <v>146</v>
      </c>
      <c r="AE42" s="9">
        <f>VLOOKUP(B42,'2016'!$B$3:$F$100,3, FALSE)</f>
        <v>290</v>
      </c>
      <c r="AF42" s="9">
        <f>VLOOKUP(B42,'2015'!$B$3:$F$100,2, FALSE)</f>
        <v>186.5</v>
      </c>
      <c r="AG42" s="9">
        <f>VLOOKUP(B42,'2015'!$B$3:$F$100,3, FALSE)</f>
        <v>350</v>
      </c>
    </row>
    <row r="43" spans="1:33" x14ac:dyDescent="0.25">
      <c r="A43">
        <v>39</v>
      </c>
      <c r="B43" s="25" t="s">
        <v>215</v>
      </c>
      <c r="C43" s="12">
        <f t="shared" si="1"/>
        <v>303.5</v>
      </c>
      <c r="D43" s="12">
        <f t="shared" si="2"/>
        <v>600</v>
      </c>
      <c r="E43" s="34">
        <f t="shared" si="3"/>
        <v>0.50583333333333336</v>
      </c>
      <c r="F43" s="12">
        <f t="shared" si="4"/>
        <v>2</v>
      </c>
      <c r="G43" s="12" t="str">
        <f>INDEX(Records!$B$4:$D$102,MATCH(B43,Records!$C$4:$C$102,0),1)</f>
        <v>42nd</v>
      </c>
      <c r="H43" s="12" t="str">
        <f>INDEX(Records!$F$4:$H$102,MATCH(B43,Records!$G$4:$G$102,0),1)</f>
        <v>4th</v>
      </c>
      <c r="J43" s="15"/>
      <c r="K43" s="15"/>
      <c r="L43" s="15"/>
      <c r="M43" s="15"/>
      <c r="N43" s="9">
        <f>VLOOKUP(B43,'2024'!$B$3:$F$100,2, FALSE)</f>
        <v>152</v>
      </c>
      <c r="O43" s="9">
        <f>VLOOKUP(B43,'2024'!$B$3:$F$100,3, FALSE)</f>
        <v>310</v>
      </c>
      <c r="P43" s="9">
        <f>VLOOKUP(B43,'2023'!$B$3:$F$100,2, FALSE)</f>
        <v>151.5</v>
      </c>
      <c r="Q43" s="9">
        <f>VLOOKUP(B43,'2023'!$B$3:$F$100,3, FALSE)</f>
        <v>290</v>
      </c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 spans="1:33" x14ac:dyDescent="0.25">
      <c r="A44">
        <v>40</v>
      </c>
      <c r="B44" s="25" t="s">
        <v>77</v>
      </c>
      <c r="C44" s="12">
        <f t="shared" si="1"/>
        <v>142.5</v>
      </c>
      <c r="D44" s="12">
        <f t="shared" si="2"/>
        <v>290</v>
      </c>
      <c r="E44" s="34">
        <f t="shared" si="3"/>
        <v>0.49137931034482757</v>
      </c>
      <c r="F44" s="12">
        <f t="shared" si="4"/>
        <v>1</v>
      </c>
      <c r="G44" s="12" t="str">
        <f>INDEX(Records!$B$4:$D$102,MATCH(B44,Records!$C$4:$C$102,0),1)</f>
        <v>59th</v>
      </c>
      <c r="H44" s="12" t="str">
        <f>INDEX(Records!$F$4:$H$102,MATCH(B44,Records!$G$4:$G$102,0),1)</f>
        <v>21st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9">
        <f>VLOOKUP(B44,'2017'!$B$3:$F$100,2, FALSE)</f>
        <v>142.5</v>
      </c>
      <c r="AC44" s="9">
        <f>VLOOKUP(B44,'2017'!$B$3:$F$100,3, FALSE)</f>
        <v>290</v>
      </c>
      <c r="AD44" s="15"/>
      <c r="AE44" s="15"/>
      <c r="AF44" s="15"/>
      <c r="AG44" s="15"/>
    </row>
    <row r="45" spans="1:33" x14ac:dyDescent="0.25">
      <c r="A45">
        <v>41</v>
      </c>
      <c r="B45" s="25" t="s">
        <v>76</v>
      </c>
      <c r="C45" s="12">
        <f t="shared" si="1"/>
        <v>218.5</v>
      </c>
      <c r="D45" s="12">
        <f t="shared" si="2"/>
        <v>490</v>
      </c>
      <c r="E45" s="34">
        <f t="shared" si="3"/>
        <v>0.44591836734693879</v>
      </c>
      <c r="F45" s="12">
        <f t="shared" si="4"/>
        <v>2</v>
      </c>
      <c r="G45" s="12" t="str">
        <f>INDEX(Records!$B$4:$D$102,MATCH(B45,Records!$C$4:$C$102,0),1)</f>
        <v>50th</v>
      </c>
      <c r="H45" s="12" t="str">
        <f>INDEX(Records!$F$4:$H$102,MATCH(B45,Records!$G$4:$G$102,0),1)</f>
        <v>61st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9">
        <f>VLOOKUP(B45,'2018'!$B$3:$F$100,2, FALSE)</f>
        <v>72</v>
      </c>
      <c r="AA45" s="9">
        <f>VLOOKUP(B45,'2018'!$B$3:$F$100,3, FALSE)</f>
        <v>200</v>
      </c>
      <c r="AB45" s="9">
        <f>VLOOKUP(B45,'2017'!$B$3:$F$100,2, FALSE)</f>
        <v>146.5</v>
      </c>
      <c r="AC45" s="9">
        <f>VLOOKUP(B45,'2017'!$B$3:$F$100,3, FALSE)</f>
        <v>290</v>
      </c>
      <c r="AD45" s="15"/>
      <c r="AE45" s="15"/>
      <c r="AF45" s="15"/>
      <c r="AG45" s="15"/>
    </row>
    <row r="46" spans="1:33" x14ac:dyDescent="0.25">
      <c r="A46">
        <v>42</v>
      </c>
      <c r="B46" s="25" t="s">
        <v>102</v>
      </c>
      <c r="C46" s="12">
        <f t="shared" si="1"/>
        <v>138.5</v>
      </c>
      <c r="D46" s="12">
        <f t="shared" si="2"/>
        <v>300</v>
      </c>
      <c r="E46" s="34">
        <f t="shared" si="3"/>
        <v>0.46166666666666667</v>
      </c>
      <c r="F46" s="12">
        <f t="shared" si="4"/>
        <v>1</v>
      </c>
      <c r="G46" s="12" t="str">
        <f>INDEX(Records!$B$4:$D$102,MATCH(B46,Records!$C$4:$C$102,0),1)</f>
        <v>62nd-T</v>
      </c>
      <c r="H46" s="12" t="str">
        <f>INDEX(Records!$F$4:$H$102,MATCH(B46,Records!$G$4:$G$102,0),1)</f>
        <v>53rd-T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9">
        <f>VLOOKUP(B46,'2015'!$B$3:$F$100,2, FALSE)</f>
        <v>138.5</v>
      </c>
      <c r="AG46" s="9">
        <f>VLOOKUP(B46,'2015'!$B$3:$F$100,3, FALSE)</f>
        <v>300</v>
      </c>
    </row>
    <row r="47" spans="1:33" x14ac:dyDescent="0.25">
      <c r="A47">
        <v>43</v>
      </c>
      <c r="B47" s="25" t="s">
        <v>103</v>
      </c>
      <c r="C47" s="12">
        <f t="shared" si="1"/>
        <v>138.5</v>
      </c>
      <c r="D47" s="12">
        <f t="shared" si="2"/>
        <v>300</v>
      </c>
      <c r="E47" s="34">
        <f t="shared" si="3"/>
        <v>0.46166666666666667</v>
      </c>
      <c r="F47" s="12">
        <f t="shared" si="4"/>
        <v>1</v>
      </c>
      <c r="G47" s="12" t="str">
        <f>INDEX(Records!$B$4:$D$102,MATCH(B47,Records!$C$4:$C$102,0),1)</f>
        <v>62nd-T</v>
      </c>
      <c r="H47" s="12" t="str">
        <f>INDEX(Records!$F$4:$H$102,MATCH(B47,Records!$G$4:$G$102,0),1)</f>
        <v>53rd-T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9">
        <f>VLOOKUP(B47,'2015'!$B$3:$F$100,2, FALSE)</f>
        <v>138.5</v>
      </c>
      <c r="AG47" s="9">
        <f>VLOOKUP(B47,'2015'!$B$3:$F$100,3, FALSE)</f>
        <v>300</v>
      </c>
    </row>
    <row r="48" spans="1:33" x14ac:dyDescent="0.25">
      <c r="A48">
        <v>44</v>
      </c>
      <c r="B48" s="25" t="s">
        <v>253</v>
      </c>
      <c r="C48" s="12">
        <f t="shared" si="1"/>
        <v>354</v>
      </c>
      <c r="D48" s="12">
        <f t="shared" si="2"/>
        <v>735</v>
      </c>
      <c r="E48" s="34">
        <f t="shared" si="3"/>
        <v>0.48163265306122449</v>
      </c>
      <c r="F48" s="12">
        <f t="shared" si="4"/>
        <v>3</v>
      </c>
      <c r="G48" s="12" t="str">
        <f>INDEX(Records!$B$4:$D$102,MATCH(B48,Records!$C$4:$C$102,0),1)</f>
        <v>41st</v>
      </c>
      <c r="H48" s="12" t="str">
        <f>INDEX(Records!$F$4:$H$102,MATCH(B48,Records!$G$4:$G$102,0),1)</f>
        <v>39th</v>
      </c>
      <c r="J48" s="9">
        <f>VLOOKUP(B48,'2026'!$B$3:$F$92,2, FALSE)</f>
        <v>82</v>
      </c>
      <c r="K48" s="9">
        <f>VLOOKUP(B48,'2026'!$B$3:$F$92,3, FALSE)</f>
        <v>180</v>
      </c>
      <c r="L48" s="9">
        <f>VLOOKUP(B48,'2025'!$B$3:$F$100,2, FALSE)</f>
        <v>136</v>
      </c>
      <c r="M48" s="9">
        <f>VLOOKUP(B48,'2025'!$B$3:$F$100,3, FALSE)</f>
        <v>285</v>
      </c>
      <c r="N48" s="9">
        <f>VLOOKUP(B48,'2024'!$B$3:$F$100,2, FALSE)</f>
        <v>136</v>
      </c>
      <c r="O48" s="9">
        <f>VLOOKUP(B48,'2024'!$B$3:$F$100,3, FALSE)</f>
        <v>270</v>
      </c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</row>
    <row r="49" spans="1:33" x14ac:dyDescent="0.25">
      <c r="A49">
        <v>45</v>
      </c>
      <c r="B49" s="25" t="s">
        <v>69</v>
      </c>
      <c r="C49" s="12">
        <f t="shared" si="1"/>
        <v>174.5</v>
      </c>
      <c r="D49" s="12">
        <f t="shared" si="2"/>
        <v>350</v>
      </c>
      <c r="E49" s="34">
        <f t="shared" si="3"/>
        <v>0.49857142857142855</v>
      </c>
      <c r="F49" s="12">
        <f t="shared" si="4"/>
        <v>1</v>
      </c>
      <c r="G49" s="12" t="str">
        <f>INDEX(Records!$B$4:$D$102,MATCH(B49,Records!$C$4:$C$102,0),1)</f>
        <v>52nd</v>
      </c>
      <c r="H49" s="12" t="str">
        <f>INDEX(Records!$F$4:$H$102,MATCH(B49,Records!$G$4:$G$102,0),1)</f>
        <v>11th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9">
        <f>VLOOKUP(B49,'2015'!$B$3:$F$100,2, FALSE)</f>
        <v>174.5</v>
      </c>
      <c r="AG49" s="9">
        <f>VLOOKUP(B49,'2015'!$B$3:$F$100,3, FALSE)</f>
        <v>350</v>
      </c>
    </row>
    <row r="50" spans="1:33" x14ac:dyDescent="0.25">
      <c r="A50">
        <v>46</v>
      </c>
      <c r="B50" s="25" t="s">
        <v>48</v>
      </c>
      <c r="C50" s="12">
        <f t="shared" si="1"/>
        <v>1716</v>
      </c>
      <c r="D50" s="12">
        <f t="shared" si="2"/>
        <v>3455</v>
      </c>
      <c r="E50" s="34">
        <f t="shared" si="3"/>
        <v>0.49667149059334298</v>
      </c>
      <c r="F50" s="12">
        <f t="shared" si="4"/>
        <v>12</v>
      </c>
      <c r="G50" s="12" t="str">
        <f>INDEX(Records!$B$4:$D$102,MATCH(B50,Records!$C$4:$C$102,0),1)</f>
        <v>1st</v>
      </c>
      <c r="H50" s="12" t="str">
        <f>INDEX(Records!$F$4:$H$102,MATCH(B50,Records!$G$4:$G$102,0),1)</f>
        <v>12th</v>
      </c>
      <c r="J50" s="9">
        <f>VLOOKUP(B50,'2026'!$B$3:$F$92,2, FALSE)</f>
        <v>83</v>
      </c>
      <c r="K50" s="9">
        <f>VLOOKUP(B50,'2026'!$B$3:$F$92,3, FALSE)</f>
        <v>180</v>
      </c>
      <c r="L50" s="9">
        <f>VLOOKUP(B50,'2025'!$B$3:$F$100,2, FALSE)</f>
        <v>138</v>
      </c>
      <c r="M50" s="9">
        <f>VLOOKUP(B50,'2025'!$B$3:$F$100,3, FALSE)</f>
        <v>285</v>
      </c>
      <c r="N50" s="9">
        <f>VLOOKUP(B50,'2024'!$B$3:$F$100,2, FALSE)</f>
        <v>161</v>
      </c>
      <c r="O50" s="9">
        <f>VLOOKUP(B50,'2024'!$B$3:$F$100,3, FALSE)</f>
        <v>310</v>
      </c>
      <c r="P50" s="9">
        <f>VLOOKUP(B50,'2023'!$B$3:$F$100,2, FALSE)</f>
        <v>145.5</v>
      </c>
      <c r="Q50" s="9">
        <f>VLOOKUP(B50,'2023'!$B$3:$F$100,3, FALSE)</f>
        <v>290</v>
      </c>
      <c r="R50" s="9">
        <f>VLOOKUP(B50,'2022'!$B$3:$F$100,2, FALSE)</f>
        <v>141.5</v>
      </c>
      <c r="S50" s="9">
        <f>VLOOKUP(B50,'2022'!$B$3:$F$100,3, FALSE)</f>
        <v>290</v>
      </c>
      <c r="T50" s="9">
        <f>VLOOKUP(B50,'2021'!$B$3:$F$100,2, FALSE)</f>
        <v>145.5</v>
      </c>
      <c r="U50" s="9">
        <f>VLOOKUP(B50,'2021'!$B$3:$F$100,3, FALSE)</f>
        <v>288</v>
      </c>
      <c r="V50" s="9">
        <f>VLOOKUP(B50,'2020'!$B$3:$F$100,2, FALSE)</f>
        <v>142</v>
      </c>
      <c r="W50" s="9">
        <f>VLOOKUP(B50,'2020'!$B$3:$F$100,3, FALSE)</f>
        <v>292</v>
      </c>
      <c r="X50" s="9">
        <f>VLOOKUP(B50,'2019'!$B$3:$F$100,2, FALSE)</f>
        <v>161.5</v>
      </c>
      <c r="Y50" s="9">
        <f>VLOOKUP(B50,'2019'!$B$3:$F$100,3, FALSE)</f>
        <v>300</v>
      </c>
      <c r="Z50" s="9">
        <f>VLOOKUP(B50,'2018'!$B$3:$F$100,2, FALSE)</f>
        <v>132.5</v>
      </c>
      <c r="AA50" s="9">
        <f>VLOOKUP(B50,'2018'!$B$3:$F$100,3, FALSE)</f>
        <v>290</v>
      </c>
      <c r="AB50" s="9">
        <f>VLOOKUP(B50,'2017'!$B$3:$F$100,2, FALSE)</f>
        <v>144.5</v>
      </c>
      <c r="AC50" s="9">
        <f>VLOOKUP(B50,'2017'!$B$3:$F$100,3, FALSE)</f>
        <v>290</v>
      </c>
      <c r="AD50" s="9">
        <f>VLOOKUP(B50,'2016'!$B$3:$F$100,2, FALSE)</f>
        <v>137</v>
      </c>
      <c r="AE50" s="9">
        <f>VLOOKUP(B50,'2016'!$B$3:$F$100,3, FALSE)</f>
        <v>290</v>
      </c>
      <c r="AF50" s="9">
        <f>VLOOKUP(B50,'2015'!$B$3:$F$100,2, FALSE)</f>
        <v>184</v>
      </c>
      <c r="AG50" s="9">
        <f>VLOOKUP(B50,'2015'!$B$3:$F$100,3, FALSE)</f>
        <v>350</v>
      </c>
    </row>
    <row r="51" spans="1:33" x14ac:dyDescent="0.25">
      <c r="A51">
        <v>47</v>
      </c>
      <c r="B51" s="25" t="s">
        <v>193</v>
      </c>
      <c r="C51" s="12">
        <f t="shared" si="1"/>
        <v>66</v>
      </c>
      <c r="D51" s="12">
        <f t="shared" si="2"/>
        <v>168</v>
      </c>
      <c r="E51" s="34">
        <f t="shared" si="3"/>
        <v>0.39285714285714285</v>
      </c>
      <c r="F51" s="12">
        <f t="shared" si="4"/>
        <v>1</v>
      </c>
      <c r="G51" s="12" t="str">
        <f>INDEX(Records!$B$4:$D$102,MATCH(B51,Records!$C$4:$C$102,0),1)</f>
        <v>71st</v>
      </c>
      <c r="H51" s="12" t="str">
        <f>INDEX(Records!$F$4:$H$102,MATCH(B51,Records!$G$4:$G$102,0),1)</f>
        <v>69th</v>
      </c>
      <c r="J51" s="15"/>
      <c r="K51" s="15"/>
      <c r="L51" s="15"/>
      <c r="M51" s="15"/>
      <c r="N51" s="15"/>
      <c r="O51" s="15"/>
      <c r="P51" s="15"/>
      <c r="Q51" s="15"/>
      <c r="R51" s="9">
        <f>VLOOKUP(B51,'2022'!$B$3:$F$100,2, FALSE)</f>
        <v>66</v>
      </c>
      <c r="S51" s="9">
        <f>VLOOKUP(B51,'2022'!$B$3:$F$100,3, FALSE)</f>
        <v>168</v>
      </c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</row>
    <row r="52" spans="1:33" x14ac:dyDescent="0.25">
      <c r="A52">
        <v>48</v>
      </c>
      <c r="B52" s="25" t="s">
        <v>105</v>
      </c>
      <c r="C52" s="12">
        <f t="shared" si="1"/>
        <v>71.5</v>
      </c>
      <c r="D52" s="12">
        <f t="shared" si="2"/>
        <v>175</v>
      </c>
      <c r="E52" s="34">
        <f t="shared" si="3"/>
        <v>0.40857142857142859</v>
      </c>
      <c r="F52" s="12">
        <f t="shared" si="4"/>
        <v>1</v>
      </c>
      <c r="G52" s="12" t="str">
        <f>INDEX(Records!$B$4:$D$102,MATCH(B52,Records!$C$4:$C$102,0),1)</f>
        <v>70th</v>
      </c>
      <c r="H52" s="12" t="str">
        <f>INDEX(Records!$F$4:$H$102,MATCH(B52,Records!$G$4:$G$102,0),1)</f>
        <v>68th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9">
        <f>VLOOKUP(B52,'2015'!$B$3:$F$100,2, FALSE)</f>
        <v>71.5</v>
      </c>
      <c r="AG52" s="9">
        <f>VLOOKUP(B52,'2015'!$B$3:$F$100,3, FALSE)</f>
        <v>175</v>
      </c>
    </row>
    <row r="53" spans="1:33" x14ac:dyDescent="0.25">
      <c r="A53">
        <v>49</v>
      </c>
      <c r="B53" s="25" t="s">
        <v>46</v>
      </c>
      <c r="C53" s="12">
        <f t="shared" si="1"/>
        <v>1383</v>
      </c>
      <c r="D53" s="12">
        <f t="shared" si="2"/>
        <v>2815</v>
      </c>
      <c r="E53" s="34">
        <f t="shared" si="3"/>
        <v>0.49129662522202489</v>
      </c>
      <c r="F53" s="12">
        <f t="shared" si="4"/>
        <v>10</v>
      </c>
      <c r="G53" s="12" t="str">
        <f>INDEX(Records!$B$4:$D$102,MATCH(B53,Records!$C$4:$C$102,0),1)</f>
        <v>13th</v>
      </c>
      <c r="H53" s="12" t="str">
        <f>INDEX(Records!$F$4:$H$102,MATCH(B53,Records!$G$4:$G$102,0),1)</f>
        <v>22nd</v>
      </c>
      <c r="J53" s="9">
        <f>VLOOKUP(B53,'2026'!$B$3:$F$92,2, FALSE)</f>
        <v>87</v>
      </c>
      <c r="K53" s="9">
        <f>VLOOKUP(B53,'2026'!$B$3:$F$92,3, FALSE)</f>
        <v>180</v>
      </c>
      <c r="L53" s="9">
        <f>VLOOKUP(B53,'2025'!$B$3:$F$100,2, FALSE)</f>
        <v>133</v>
      </c>
      <c r="M53" s="9">
        <f>VLOOKUP(B53,'2025'!$B$3:$F$100,3, FALSE)</f>
        <v>285</v>
      </c>
      <c r="N53" s="9">
        <f>VLOOKUP(B53,'2024'!$B$3:$F$100,2, FALSE)</f>
        <v>157</v>
      </c>
      <c r="O53" s="9">
        <f>VLOOKUP(B53,'2024'!$B$3:$F$100,3, FALSE)</f>
        <v>310</v>
      </c>
      <c r="P53" s="9">
        <f>VLOOKUP(B53,'2023'!$B$3:$F$100,2, FALSE)</f>
        <v>145.5</v>
      </c>
      <c r="Q53" s="9">
        <f>VLOOKUP(B53,'2023'!$B$3:$F$100,3, FALSE)</f>
        <v>290</v>
      </c>
      <c r="R53" s="9">
        <f>VLOOKUP(B53,'2022'!$B$3:$F$100,2, FALSE)</f>
        <v>132.5</v>
      </c>
      <c r="S53" s="9">
        <f>VLOOKUP(B53,'2022'!$B$3:$F$100,3, FALSE)</f>
        <v>290</v>
      </c>
      <c r="T53" s="9">
        <f>VLOOKUP(B53,'2021'!$B$3:$F$100,2, FALSE)</f>
        <v>135.5</v>
      </c>
      <c r="U53" s="9">
        <f>VLOOKUP(B53,'2021'!$B$3:$F$100,3, FALSE)</f>
        <v>288</v>
      </c>
      <c r="V53" s="9">
        <f>VLOOKUP(B53,'2020'!$B$3:$F$100,2, FALSE)</f>
        <v>139</v>
      </c>
      <c r="W53" s="9">
        <f>VLOOKUP(B53,'2020'!$B$3:$F$100,3, FALSE)</f>
        <v>292</v>
      </c>
      <c r="X53" s="9">
        <f>VLOOKUP(B53,'2019'!$B$3:$F$100,2, FALSE)</f>
        <v>155.5</v>
      </c>
      <c r="Y53" s="9">
        <f>VLOOKUP(B53,'2019'!$B$3:$F$100,3, FALSE)</f>
        <v>300</v>
      </c>
      <c r="Z53" s="9">
        <f>VLOOKUP(B53,'2018'!$B$3:$F$100,2, FALSE)</f>
        <v>146.5</v>
      </c>
      <c r="AA53" s="9">
        <f>VLOOKUP(B53,'2018'!$B$3:$F$100,3, FALSE)</f>
        <v>290</v>
      </c>
      <c r="AB53" s="9">
        <f>VLOOKUP(B53,'2017'!$B$3:$F$100,2, FALSE)</f>
        <v>151.5</v>
      </c>
      <c r="AC53" s="9">
        <f>VLOOKUP(B53,'2017'!$B$3:$F$100,3, FALSE)</f>
        <v>290</v>
      </c>
      <c r="AD53" s="15"/>
      <c r="AE53" s="15"/>
      <c r="AF53" s="15"/>
      <c r="AG53" s="15"/>
    </row>
    <row r="54" spans="1:33" x14ac:dyDescent="0.25">
      <c r="A54">
        <v>50</v>
      </c>
      <c r="B54" s="25" t="s">
        <v>45</v>
      </c>
      <c r="C54" s="12">
        <f t="shared" si="1"/>
        <v>1625.5</v>
      </c>
      <c r="D54" s="12">
        <f t="shared" si="2"/>
        <v>3275</v>
      </c>
      <c r="E54" s="34">
        <f t="shared" si="3"/>
        <v>0.49633587786259542</v>
      </c>
      <c r="F54" s="12">
        <f t="shared" si="4"/>
        <v>11</v>
      </c>
      <c r="G54" s="12" t="str">
        <f>INDEX(Records!$B$4:$D$102,MATCH(B54,Records!$C$4:$C$102,0),1)</f>
        <v>8th</v>
      </c>
      <c r="H54" s="12" t="str">
        <f>INDEX(Records!$F$4:$H$102,MATCH(B54,Records!$G$4:$G$102,0),1)</f>
        <v>13th</v>
      </c>
      <c r="J54" s="15"/>
      <c r="K54" s="15"/>
      <c r="L54" s="9">
        <f>VLOOKUP(B54,'2025'!$B$3:$F$100,2, FALSE)</f>
        <v>141</v>
      </c>
      <c r="M54" s="9">
        <f>VLOOKUP(B54,'2025'!$B$3:$F$100,3, FALSE)</f>
        <v>285</v>
      </c>
      <c r="N54" s="9">
        <f>VLOOKUP(B54,'2024'!$B$3:$F$100,2, FALSE)</f>
        <v>156</v>
      </c>
      <c r="O54" s="9">
        <f>VLOOKUP(B54,'2024'!$B$3:$F$100,3, FALSE)</f>
        <v>310</v>
      </c>
      <c r="P54" s="9">
        <f>VLOOKUP(B54,'2023'!$B$3:$F$100,2, FALSE)</f>
        <v>149.5</v>
      </c>
      <c r="Q54" s="9">
        <f>VLOOKUP(B54,'2023'!$B$3:$F$100,3, FALSE)</f>
        <v>290</v>
      </c>
      <c r="R54" s="9">
        <f>VLOOKUP(B54,'2022'!$B$3:$F$100,2, FALSE)</f>
        <v>137.5</v>
      </c>
      <c r="S54" s="9">
        <f>VLOOKUP(B54,'2022'!$B$3:$F$100,3, FALSE)</f>
        <v>290</v>
      </c>
      <c r="T54" s="9">
        <f>VLOOKUP(B54,'2021'!$B$3:$F$100,2, FALSE)</f>
        <v>143.5</v>
      </c>
      <c r="U54" s="9">
        <f>VLOOKUP(B54,'2021'!$B$3:$F$100,3, FALSE)</f>
        <v>288</v>
      </c>
      <c r="V54" s="9">
        <f>VLOOKUP(B54,'2020'!$B$3:$F$100,2, FALSE)</f>
        <v>158</v>
      </c>
      <c r="W54" s="9">
        <f>VLOOKUP(B54,'2020'!$B$3:$F$100,3, FALSE)</f>
        <v>292</v>
      </c>
      <c r="X54" s="9">
        <f>VLOOKUP(B54,'2019'!$B$3:$F$100,2, FALSE)</f>
        <v>155.5</v>
      </c>
      <c r="Y54" s="9">
        <f>VLOOKUP(B54,'2019'!$B$3:$F$100,3, FALSE)</f>
        <v>300</v>
      </c>
      <c r="Z54" s="9">
        <f>VLOOKUP(B54,'2018'!$B$3:$F$100,2, FALSE)</f>
        <v>136.5</v>
      </c>
      <c r="AA54" s="9">
        <f>VLOOKUP(B54,'2018'!$B$3:$F$100,3, FALSE)</f>
        <v>290</v>
      </c>
      <c r="AB54" s="9">
        <f>VLOOKUP(B54,'2017'!$B$3:$F$100,2, FALSE)</f>
        <v>142.5</v>
      </c>
      <c r="AC54" s="9">
        <f>VLOOKUP(B54,'2017'!$B$3:$F$100,3, FALSE)</f>
        <v>290</v>
      </c>
      <c r="AD54" s="9">
        <f>VLOOKUP(B54,'2016'!$B$3:$F$100,2, FALSE)</f>
        <v>126</v>
      </c>
      <c r="AE54" s="9">
        <f>VLOOKUP(B54,'2016'!$B$3:$F$100,3, FALSE)</f>
        <v>290</v>
      </c>
      <c r="AF54" s="9">
        <f>VLOOKUP(B54,'2015'!$B$3:$F$100,2, FALSE)</f>
        <v>179.5</v>
      </c>
      <c r="AG54" s="9">
        <f>VLOOKUP(B54,'2015'!$B$3:$F$100,3, FALSE)</f>
        <v>350</v>
      </c>
    </row>
    <row r="55" spans="1:33" x14ac:dyDescent="0.25">
      <c r="A55">
        <v>51</v>
      </c>
      <c r="B55" s="25" t="s">
        <v>39</v>
      </c>
      <c r="C55" s="12">
        <f t="shared" si="1"/>
        <v>1694.5</v>
      </c>
      <c r="D55" s="12">
        <f t="shared" si="2"/>
        <v>3455</v>
      </c>
      <c r="E55" s="34">
        <f t="shared" si="3"/>
        <v>0.49044862518089727</v>
      </c>
      <c r="F55" s="12">
        <f t="shared" si="4"/>
        <v>12</v>
      </c>
      <c r="G55" s="12" t="str">
        <f>INDEX(Records!$B$4:$D$102,MATCH(B55,Records!$C$4:$C$102,0),1)</f>
        <v>4th</v>
      </c>
      <c r="H55" s="12" t="str">
        <f>INDEX(Records!$F$4:$H$102,MATCH(B55,Records!$G$4:$G$102,0),1)</f>
        <v>24th</v>
      </c>
      <c r="J55" s="9">
        <f>VLOOKUP(B55,'2026'!$B$3:$F$92,2, FALSE)</f>
        <v>83</v>
      </c>
      <c r="K55" s="9">
        <f>VLOOKUP(B55,'2026'!$B$3:$F$92,3, FALSE)</f>
        <v>180</v>
      </c>
      <c r="L55" s="9">
        <f>VLOOKUP(B55,'2025'!$B$3:$F$100,2, FALSE)</f>
        <v>144</v>
      </c>
      <c r="M55" s="9">
        <f>VLOOKUP(B55,'2025'!$B$3:$F$100,3, FALSE)</f>
        <v>285</v>
      </c>
      <c r="N55" s="9">
        <f>VLOOKUP(B55,'2024'!$B$3:$F$100,2, FALSE)</f>
        <v>139</v>
      </c>
      <c r="O55" s="9">
        <f>VLOOKUP(B55,'2024'!$B$3:$F$100,3, FALSE)</f>
        <v>310</v>
      </c>
      <c r="P55" s="9">
        <f>VLOOKUP(B55,'2023'!$B$3:$F$100,2, FALSE)</f>
        <v>149.5</v>
      </c>
      <c r="Q55" s="9">
        <f>VLOOKUP(B55,'2023'!$B$3:$F$100,3, FALSE)</f>
        <v>290</v>
      </c>
      <c r="R55" s="9">
        <f>VLOOKUP(B55,'2022'!$B$3:$F$100,2, FALSE)</f>
        <v>130.5</v>
      </c>
      <c r="S55" s="9">
        <f>VLOOKUP(B55,'2022'!$B$3:$F$100,3, FALSE)</f>
        <v>290</v>
      </c>
      <c r="T55" s="9">
        <f>VLOOKUP(B55,'2021'!$B$3:$F$100,2, FALSE)</f>
        <v>155.5</v>
      </c>
      <c r="U55" s="9">
        <f>VLOOKUP(B55,'2021'!$B$3:$F$100,3, FALSE)</f>
        <v>288</v>
      </c>
      <c r="V55" s="9">
        <f>VLOOKUP(B55,'2020'!$B$3:$F$100,2, FALSE)</f>
        <v>147</v>
      </c>
      <c r="W55" s="9">
        <f>VLOOKUP(B55,'2020'!$B$3:$F$100,3, FALSE)</f>
        <v>292</v>
      </c>
      <c r="X55" s="9">
        <f>VLOOKUP(B55,'2019'!$B$3:$F$100,2, FALSE)</f>
        <v>145.5</v>
      </c>
      <c r="Y55" s="9">
        <f>VLOOKUP(B55,'2019'!$B$3:$F$100,3, FALSE)</f>
        <v>300</v>
      </c>
      <c r="Z55" s="9">
        <f>VLOOKUP(B55,'2018'!$B$3:$F$100,2, FALSE)</f>
        <v>151.5</v>
      </c>
      <c r="AA55" s="9">
        <f>VLOOKUP(B55,'2018'!$B$3:$F$100,3, FALSE)</f>
        <v>290</v>
      </c>
      <c r="AB55" s="9">
        <f>VLOOKUP(B55,'2017'!$B$3:$F$100,2, FALSE)</f>
        <v>146.5</v>
      </c>
      <c r="AC55" s="9">
        <f>VLOOKUP(B55,'2017'!$B$3:$F$100,3, FALSE)</f>
        <v>290</v>
      </c>
      <c r="AD55" s="9">
        <f>VLOOKUP(B55,'2016'!$B$3:$F$100,2, FALSE)</f>
        <v>133</v>
      </c>
      <c r="AE55" s="9">
        <f>VLOOKUP(B55,'2016'!$B$3:$F$100,3, FALSE)</f>
        <v>290</v>
      </c>
      <c r="AF55" s="9">
        <f>VLOOKUP(B55,'2015'!$B$3:$F$100,2, FALSE)</f>
        <v>169.5</v>
      </c>
      <c r="AG55" s="9">
        <f>VLOOKUP(B55,'2015'!$B$3:$F$100,3, FALSE)</f>
        <v>350</v>
      </c>
    </row>
    <row r="56" spans="1:33" x14ac:dyDescent="0.25">
      <c r="A56">
        <v>52</v>
      </c>
      <c r="B56" s="25" t="s">
        <v>376</v>
      </c>
      <c r="C56" s="12">
        <f t="shared" si="1"/>
        <v>151.5</v>
      </c>
      <c r="D56" s="12">
        <f t="shared" si="2"/>
        <v>350</v>
      </c>
      <c r="E56" s="34">
        <f t="shared" si="3"/>
        <v>0.43285714285714288</v>
      </c>
      <c r="F56" s="12">
        <f t="shared" si="4"/>
        <v>1</v>
      </c>
      <c r="G56" s="12" t="str">
        <f>INDEX(Records!$B$4:$D$102,MATCH(B56,Records!$C$4:$C$102,0),1)</f>
        <v>57th</v>
      </c>
      <c r="H56" s="12" t="str">
        <f>INDEX(Records!$F$4:$H$102,MATCH(B56,Records!$G$4:$G$102,0),1)</f>
        <v>63rd</v>
      </c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9">
        <f>VLOOKUP(B56,'2015'!$B$3:$F$100,2, FALSE)</f>
        <v>151.5</v>
      </c>
      <c r="AG56" s="9">
        <f>VLOOKUP(B56,'2015'!$B$3:$F$100,3, FALSE)</f>
        <v>350</v>
      </c>
    </row>
    <row r="57" spans="1:33" x14ac:dyDescent="0.25">
      <c r="A57">
        <v>53</v>
      </c>
      <c r="B57" s="25" t="s">
        <v>224</v>
      </c>
      <c r="C57" s="12">
        <f t="shared" si="1"/>
        <v>484.5</v>
      </c>
      <c r="D57" s="12">
        <f t="shared" si="2"/>
        <v>965</v>
      </c>
      <c r="E57" s="34">
        <f t="shared" si="3"/>
        <v>0.50207253886010361</v>
      </c>
      <c r="F57" s="12">
        <f t="shared" si="4"/>
        <v>4</v>
      </c>
      <c r="G57" s="12" t="str">
        <f>INDEX(Records!$B$4:$D$102,MATCH(B57,Records!$C$4:$C$102,0),1)</f>
        <v>37th</v>
      </c>
      <c r="H57" s="12" t="str">
        <f>INDEX(Records!$F$4:$H$102,MATCH(B57,Records!$G$4:$G$102,0),1)</f>
        <v>7th</v>
      </c>
      <c r="J57" s="9">
        <f>VLOOKUP(B57,'2026'!$B$3:$F$92,2, FALSE)</f>
        <v>81</v>
      </c>
      <c r="K57" s="9">
        <f>VLOOKUP(B57,'2026'!$B$3:$F$92,3, FALSE)</f>
        <v>180</v>
      </c>
      <c r="L57" s="9">
        <f>VLOOKUP(B57,'2025'!$B$3:$F$100,2, FALSE)</f>
        <v>137</v>
      </c>
      <c r="M57" s="9">
        <f>VLOOKUP(B57,'2025'!$B$3:$F$100,3, FALSE)</f>
        <v>285</v>
      </c>
      <c r="N57" s="9">
        <f>VLOOKUP(B57,'2024'!$B$3:$F$100,2, FALSE)</f>
        <v>164</v>
      </c>
      <c r="O57" s="9">
        <f>VLOOKUP(B57,'2024'!$B$3:$F$100,3, FALSE)</f>
        <v>310</v>
      </c>
      <c r="P57" s="9">
        <f>VLOOKUP(B57,'2023'!$B$3:$F$100,2, FALSE)</f>
        <v>102.5</v>
      </c>
      <c r="Q57" s="9">
        <f>VLOOKUP(B57,'2023'!$B$3:$F$100,3, FALSE)</f>
        <v>190</v>
      </c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1:33" x14ac:dyDescent="0.25">
      <c r="A58">
        <v>54</v>
      </c>
      <c r="B58" s="25" t="s">
        <v>240</v>
      </c>
      <c r="C58" s="12">
        <f t="shared" si="1"/>
        <v>245</v>
      </c>
      <c r="D58" s="12">
        <f t="shared" si="2"/>
        <v>465</v>
      </c>
      <c r="E58" s="34">
        <f t="shared" si="3"/>
        <v>0.5268817204301075</v>
      </c>
      <c r="F58" s="12">
        <f t="shared" si="4"/>
        <v>2</v>
      </c>
      <c r="G58" s="12" t="str">
        <f>INDEX(Records!$B$4:$D$102,MATCH(B58,Records!$C$4:$C$102,0),1)</f>
        <v>47th</v>
      </c>
      <c r="H58" s="12" t="str">
        <f>INDEX(Records!$F$4:$H$102,MATCH(B58,Records!$G$4:$G$102,0),1)</f>
        <v>1st</v>
      </c>
      <c r="J58" s="9">
        <f>VLOOKUP(B58,'2026'!$B$3:$F$92,2, FALSE)</f>
        <v>95</v>
      </c>
      <c r="K58" s="9">
        <f>VLOOKUP(B58,'2026'!$B$3:$F$92,3, FALSE)</f>
        <v>180</v>
      </c>
      <c r="L58" s="9">
        <f>VLOOKUP(B58,'2025'!$B$3:$F$100,2, FALSE)</f>
        <v>150</v>
      </c>
      <c r="M58" s="9">
        <f>VLOOKUP(B58,'2025'!$B$3:$F$100,3, FALSE)</f>
        <v>285</v>
      </c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</row>
    <row r="59" spans="1:33" x14ac:dyDescent="0.25">
      <c r="A59">
        <v>55</v>
      </c>
      <c r="B59" s="25" t="s">
        <v>194</v>
      </c>
      <c r="C59" s="12">
        <f t="shared" si="1"/>
        <v>654</v>
      </c>
      <c r="D59" s="12">
        <f t="shared" si="2"/>
        <v>1355</v>
      </c>
      <c r="E59" s="34">
        <f t="shared" si="3"/>
        <v>0.4826568265682657</v>
      </c>
      <c r="F59" s="12">
        <f t="shared" si="4"/>
        <v>5</v>
      </c>
      <c r="G59" s="12" t="str">
        <f>INDEX(Records!$B$4:$D$102,MATCH(B59,Records!$C$4:$C$102,0),1)</f>
        <v>28th-T</v>
      </c>
      <c r="H59" s="12" t="str">
        <f>INDEX(Records!$F$4:$H$102,MATCH(B59,Records!$G$4:$G$102,0),1)</f>
        <v>37th</v>
      </c>
      <c r="J59" s="9">
        <f>VLOOKUP(B59,'2026'!$B$3:$F$92,2, FALSE)</f>
        <v>95</v>
      </c>
      <c r="K59" s="9">
        <f>VLOOKUP(B59,'2026'!$B$3:$F$92,3, FALSE)</f>
        <v>180</v>
      </c>
      <c r="L59" s="9">
        <f>VLOOKUP(B59,'2025'!$B$3:$F$100,2, FALSE)</f>
        <v>119</v>
      </c>
      <c r="M59" s="9">
        <f>VLOOKUP(B59,'2025'!$B$3:$F$100,3, FALSE)</f>
        <v>285</v>
      </c>
      <c r="N59" s="9">
        <f>VLOOKUP(B59,'2024'!$B$3:$F$100,2, FALSE)</f>
        <v>148</v>
      </c>
      <c r="O59" s="9">
        <f>VLOOKUP(B59,'2024'!$B$3:$F$100,3, FALSE)</f>
        <v>310</v>
      </c>
      <c r="P59" s="9">
        <f>VLOOKUP(B59,'2023'!$B$3:$F$100,2, FALSE)</f>
        <v>151.5</v>
      </c>
      <c r="Q59" s="9">
        <f>VLOOKUP(B59,'2023'!$B$3:$F$100,3, FALSE)</f>
        <v>290</v>
      </c>
      <c r="R59" s="9">
        <f>VLOOKUP(B59,'2022'!$B$3:$F$100,2, FALSE)</f>
        <v>140.5</v>
      </c>
      <c r="S59" s="9">
        <f>VLOOKUP(B59,'2022'!$B$3:$F$100,3, FALSE)</f>
        <v>290</v>
      </c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1:33" x14ac:dyDescent="0.25">
      <c r="A60">
        <v>56</v>
      </c>
      <c r="B60" s="25" t="s">
        <v>104</v>
      </c>
      <c r="C60" s="12">
        <f t="shared" si="1"/>
        <v>120.5</v>
      </c>
      <c r="D60" s="12">
        <f t="shared" si="2"/>
        <v>350</v>
      </c>
      <c r="E60" s="34">
        <f t="shared" si="3"/>
        <v>0.34428571428571431</v>
      </c>
      <c r="F60" s="12">
        <f t="shared" si="4"/>
        <v>1</v>
      </c>
      <c r="G60" s="12" t="str">
        <f>INDEX(Records!$B$4:$D$102,MATCH(B60,Records!$C$4:$C$102,0),1)</f>
        <v>68th</v>
      </c>
      <c r="H60" s="12" t="str">
        <f>INDEX(Records!$F$4:$H$102,MATCH(B60,Records!$G$4:$G$102,0),1)</f>
        <v>72nd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9">
        <f>VLOOKUP(B60,'2015'!$B$3:$F$100,2, FALSE)</f>
        <v>120.5</v>
      </c>
      <c r="AG60" s="9">
        <f>VLOOKUP(B60,'2015'!$B$3:$F$100,3, FALSE)</f>
        <v>350</v>
      </c>
    </row>
    <row r="61" spans="1:33" x14ac:dyDescent="0.25">
      <c r="A61">
        <v>57</v>
      </c>
      <c r="B61" s="25" t="s">
        <v>198</v>
      </c>
      <c r="C61" s="12">
        <f t="shared" si="1"/>
        <v>505.5</v>
      </c>
      <c r="D61" s="12">
        <f t="shared" si="2"/>
        <v>1053</v>
      </c>
      <c r="E61" s="34">
        <f t="shared" si="3"/>
        <v>0.48005698005698005</v>
      </c>
      <c r="F61" s="12">
        <f t="shared" si="4"/>
        <v>4</v>
      </c>
      <c r="G61" s="12" t="str">
        <f>INDEX(Records!$B$4:$D$102,MATCH(B61,Records!$C$4:$C$102,0),1)</f>
        <v>34th</v>
      </c>
      <c r="H61" s="12" t="str">
        <f>INDEX(Records!$F$4:$H$102,MATCH(B61,Records!$G$4:$G$102,0),1)</f>
        <v>41st</v>
      </c>
      <c r="J61" s="9">
        <f>VLOOKUP(B61,'2026'!$B$3:$F$92,2, FALSE)</f>
        <v>82</v>
      </c>
      <c r="K61" s="9">
        <f>VLOOKUP(B61,'2026'!$B$3:$F$92,3, FALSE)</f>
        <v>180</v>
      </c>
      <c r="L61" s="15"/>
      <c r="M61" s="15"/>
      <c r="N61" s="9">
        <f>VLOOKUP(B61,'2024'!$B$3:$F$100,2, FALSE)</f>
        <v>149</v>
      </c>
      <c r="O61" s="9">
        <f>VLOOKUP(B61,'2024'!$B$3:$F$100,3, FALSE)</f>
        <v>310</v>
      </c>
      <c r="P61" s="9">
        <f>VLOOKUP(B61,'2023'!$B$3:$F$100,2, FALSE)</f>
        <v>143.5</v>
      </c>
      <c r="Q61" s="9">
        <f>VLOOKUP(B61,'2023'!$B$3:$F$100,3, FALSE)</f>
        <v>290</v>
      </c>
      <c r="R61" s="9">
        <f>VLOOKUP(B61,'2022'!$B$3:$F$100,2, FALSE)</f>
        <v>131</v>
      </c>
      <c r="S61" s="9">
        <f>VLOOKUP(B61,'2022'!$B$3:$F$100,3, FALSE)</f>
        <v>273</v>
      </c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</row>
    <row r="62" spans="1:33" x14ac:dyDescent="0.25">
      <c r="A62">
        <v>58</v>
      </c>
      <c r="B62" s="25" t="s">
        <v>196</v>
      </c>
      <c r="C62" s="12">
        <f t="shared" si="1"/>
        <v>654</v>
      </c>
      <c r="D62" s="12">
        <f t="shared" si="2"/>
        <v>1355</v>
      </c>
      <c r="E62" s="34">
        <f t="shared" si="3"/>
        <v>0.4826568265682657</v>
      </c>
      <c r="F62" s="12">
        <f t="shared" si="4"/>
        <v>5</v>
      </c>
      <c r="G62" s="12" t="str">
        <f>INDEX(Records!$B$4:$D$102,MATCH(B62,Records!$C$4:$C$102,0),1)</f>
        <v>28th-T</v>
      </c>
      <c r="H62" s="12" t="str">
        <f>INDEX(Records!$F$4:$H$102,MATCH(B62,Records!$G$4:$G$102,0),1)</f>
        <v>36th</v>
      </c>
      <c r="J62" s="9">
        <f>VLOOKUP(B62,'2026'!$B$3:$F$92,2, FALSE)</f>
        <v>87</v>
      </c>
      <c r="K62" s="9">
        <f>VLOOKUP(B62,'2026'!$B$3:$F$92,3, FALSE)</f>
        <v>180</v>
      </c>
      <c r="L62" s="9">
        <f>VLOOKUP(B62,'2025'!$B$3:$F$100,2, FALSE)</f>
        <v>132</v>
      </c>
      <c r="M62" s="9">
        <f>VLOOKUP(B62,'2025'!$B$3:$F$100,3, FALSE)</f>
        <v>285</v>
      </c>
      <c r="N62" s="9">
        <f>VLOOKUP(B62,'2024'!$B$3:$F$100,2, FALSE)</f>
        <v>165</v>
      </c>
      <c r="O62" s="9">
        <f>VLOOKUP(B62,'2024'!$B$3:$F$100,3, FALSE)</f>
        <v>310</v>
      </c>
      <c r="P62" s="9">
        <f>VLOOKUP(B62,'2023'!$B$3:$F$100,2, FALSE)</f>
        <v>139.5</v>
      </c>
      <c r="Q62" s="9">
        <f>VLOOKUP(B62,'2023'!$B$3:$F$100,3, FALSE)</f>
        <v>290</v>
      </c>
      <c r="R62" s="9">
        <f>VLOOKUP(B62,'2022'!$B$3:$F$100,2, FALSE)</f>
        <v>130.5</v>
      </c>
      <c r="S62" s="9">
        <f>VLOOKUP(B62,'2022'!$B$3:$F$100,3, FALSE)</f>
        <v>290</v>
      </c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</row>
    <row r="63" spans="1:33" x14ac:dyDescent="0.25">
      <c r="A63">
        <v>59</v>
      </c>
      <c r="B63" s="25" t="s">
        <v>216</v>
      </c>
      <c r="C63" s="12">
        <f t="shared" si="1"/>
        <v>479.5</v>
      </c>
      <c r="D63" s="12">
        <f t="shared" si="2"/>
        <v>1065</v>
      </c>
      <c r="E63" s="34">
        <f t="shared" si="3"/>
        <v>0.45023474178403755</v>
      </c>
      <c r="F63" s="12">
        <f t="shared" si="4"/>
        <v>4</v>
      </c>
      <c r="G63" s="12" t="str">
        <f>INDEX(Records!$B$4:$D$102,MATCH(B63,Records!$C$4:$C$102,0),1)</f>
        <v>38th</v>
      </c>
      <c r="H63" s="12" t="str">
        <f>INDEX(Records!$F$4:$H$102,MATCH(B63,Records!$G$4:$G$102,0),1)</f>
        <v>59th</v>
      </c>
      <c r="J63" s="9">
        <f>VLOOKUP(B63,'2026'!$B$3:$F$92,2, FALSE)</f>
        <v>86</v>
      </c>
      <c r="K63" s="9">
        <f>VLOOKUP(B63,'2026'!$B$3:$F$92,3, FALSE)</f>
        <v>180</v>
      </c>
      <c r="L63" s="9">
        <f>VLOOKUP(B63,'2025'!$B$3:$F$100,2, FALSE)</f>
        <v>116</v>
      </c>
      <c r="M63" s="9">
        <f>VLOOKUP(B63,'2025'!$B$3:$F$100,3, FALSE)</f>
        <v>285</v>
      </c>
      <c r="N63" s="9">
        <f>VLOOKUP(B63,'2024'!$B$3:$F$100,2, FALSE)</f>
        <v>145</v>
      </c>
      <c r="O63" s="9">
        <f>VLOOKUP(B63,'2024'!$B$3:$F$100,3, FALSE)</f>
        <v>310</v>
      </c>
      <c r="P63" s="9">
        <f>VLOOKUP(B63,'2023'!$B$3:$F$100,2, FALSE)</f>
        <v>132.5</v>
      </c>
      <c r="Q63" s="9">
        <f>VLOOKUP(B63,'2023'!$B$3:$F$100,3, FALSE)</f>
        <v>290</v>
      </c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</row>
    <row r="64" spans="1:33" x14ac:dyDescent="0.25">
      <c r="A64">
        <v>60</v>
      </c>
      <c r="B64" s="25" t="s">
        <v>333</v>
      </c>
      <c r="C64" s="12">
        <f t="shared" ref="C64" si="5">J64+L64+N64+P64+R64+T64+V64+X64+Z64+AB64+AD64+AF64</f>
        <v>84</v>
      </c>
      <c r="D64" s="12">
        <f t="shared" ref="D64" si="6">K64+M64+O64+Q64+S64+U64+W64+Y64+AA64+AC64+AE64+AG64</f>
        <v>180</v>
      </c>
      <c r="E64" s="34">
        <f t="shared" ref="E64" si="7">C64/D64</f>
        <v>0.46666666666666667</v>
      </c>
      <c r="F64" s="12">
        <f t="shared" ref="F64" si="8">COUNT(J64:AAM64)/2</f>
        <v>1</v>
      </c>
      <c r="G64" s="12" t="str">
        <f>INDEX(Records!$B$4:$D$102,MATCH(B64,Records!$C$4:$C$102,0),1)</f>
        <v>69th</v>
      </c>
      <c r="H64" s="12" t="str">
        <f>INDEX(Records!$F$4:$H$102,MATCH(B64,Records!$G$4:$G$102,0),1)</f>
        <v>51st</v>
      </c>
      <c r="J64" s="9">
        <f>VLOOKUP(B64,'2026'!$B$3:$F$92,2, FALSE)</f>
        <v>84</v>
      </c>
      <c r="K64" s="9">
        <f>VLOOKUP(B64,'2026'!$B$3:$F$92,3, FALSE)</f>
        <v>180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</row>
    <row r="65" spans="1:33" x14ac:dyDescent="0.25">
      <c r="A65">
        <v>61</v>
      </c>
      <c r="B65" s="25" t="s">
        <v>344</v>
      </c>
      <c r="C65" s="12">
        <f t="shared" ref="C65" si="9">J65+L65+N65+P65+R65+T65+V65+X65+Z65+AB65+AD65+AF65</f>
        <v>49</v>
      </c>
      <c r="D65" s="12">
        <f t="shared" ref="D65" si="10">K65+M65+O65+Q65+S65+U65+W65+Y65+AA65+AC65+AE65+AG65</f>
        <v>140</v>
      </c>
      <c r="E65" s="34">
        <f t="shared" ref="E65" si="11">C65/D65</f>
        <v>0.35</v>
      </c>
      <c r="F65" s="12">
        <f t="shared" ref="F65" si="12">COUNT(J65:AAM65)/2</f>
        <v>1</v>
      </c>
      <c r="G65" s="12" t="str">
        <f>INDEX(Records!$B$4:$D$102,MATCH(B65,Records!$C$4:$C$102,0),1)</f>
        <v>72nd</v>
      </c>
      <c r="H65" s="12" t="str">
        <f>INDEX(Records!$F$4:$H$102,MATCH(B65,Records!$G$4:$G$102,0),1)</f>
        <v>71st</v>
      </c>
      <c r="J65" s="9">
        <f>VLOOKUP(B65,'2026'!$B$3:$F$92,2, FALSE)</f>
        <v>49</v>
      </c>
      <c r="K65" s="9">
        <f>VLOOKUP(B65,'2026'!$B$3:$F$92,3, FALSE)</f>
        <v>140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</row>
    <row r="66" spans="1:33" x14ac:dyDescent="0.25">
      <c r="A66">
        <v>62</v>
      </c>
      <c r="B66" s="25" t="s">
        <v>214</v>
      </c>
      <c r="C66" s="12">
        <f t="shared" si="1"/>
        <v>515.5</v>
      </c>
      <c r="D66" s="12">
        <f t="shared" si="2"/>
        <v>1045</v>
      </c>
      <c r="E66" s="34">
        <f t="shared" si="3"/>
        <v>0.49330143540669857</v>
      </c>
      <c r="F66" s="12">
        <f t="shared" si="4"/>
        <v>4</v>
      </c>
      <c r="G66" s="12" t="str">
        <f>INDEX(Records!$B$4:$D$102,MATCH(B66,Records!$C$4:$C$102,0),1)</f>
        <v>33rd</v>
      </c>
      <c r="H66" s="12" t="str">
        <f>INDEX(Records!$F$4:$H$102,MATCH(B66,Records!$G$4:$G$102,0),1)</f>
        <v>20th</v>
      </c>
      <c r="J66" s="9">
        <f>VLOOKUP(B66,'2026'!$B$3:$F$92,2, FALSE)</f>
        <v>73</v>
      </c>
      <c r="K66" s="9">
        <f>VLOOKUP(B66,'2026'!$B$3:$F$92,3, FALSE)</f>
        <v>160</v>
      </c>
      <c r="L66" s="9">
        <f>VLOOKUP(B66,'2025'!$B$3:$F$100,2, FALSE)</f>
        <v>133</v>
      </c>
      <c r="M66" s="9">
        <f>VLOOKUP(B66,'2025'!$B$3:$F$100,3, FALSE)</f>
        <v>285</v>
      </c>
      <c r="N66" s="9">
        <f>VLOOKUP(B66,'2024'!$B$3:$F$100,2, FALSE)</f>
        <v>159</v>
      </c>
      <c r="O66" s="9">
        <f>VLOOKUP(B66,'2024'!$B$3:$F$100,3, FALSE)</f>
        <v>310</v>
      </c>
      <c r="P66" s="9">
        <f>VLOOKUP(B66,'2023'!$B$3:$F$100,2, FALSE)</f>
        <v>150.5</v>
      </c>
      <c r="Q66" s="9">
        <f>VLOOKUP(B66,'2023'!$B$3:$F$100,3, FALSE)</f>
        <v>290</v>
      </c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  <row r="67" spans="1:33" x14ac:dyDescent="0.25">
      <c r="A67">
        <v>63</v>
      </c>
      <c r="B67" s="25" t="s">
        <v>58</v>
      </c>
      <c r="C67" s="12">
        <f t="shared" si="1"/>
        <v>161.5</v>
      </c>
      <c r="D67" s="12">
        <f t="shared" si="2"/>
        <v>399</v>
      </c>
      <c r="E67" s="34">
        <f t="shared" si="3"/>
        <v>0.40476190476190477</v>
      </c>
      <c r="F67" s="12">
        <f t="shared" si="4"/>
        <v>2</v>
      </c>
      <c r="G67" s="12" t="str">
        <f>INDEX(Records!$B$4:$D$102,MATCH(B67,Records!$C$4:$C$102,0),1)</f>
        <v>55th</v>
      </c>
      <c r="H67" s="12" t="str">
        <f>INDEX(Records!$F$4:$H$102,MATCH(B67,Records!$G$4:$G$102,0),1)</f>
        <v>69th</v>
      </c>
      <c r="J67" s="15"/>
      <c r="K67" s="15"/>
      <c r="L67" s="15"/>
      <c r="M67" s="15"/>
      <c r="N67" s="9">
        <f>VLOOKUP(B67,'2024'!$B$3:$F$100,2, FALSE)</f>
        <v>72</v>
      </c>
      <c r="O67" s="9">
        <f>VLOOKUP(B67,'2024'!$B$3:$F$100,3, FALSE)</f>
        <v>180</v>
      </c>
      <c r="P67" s="15"/>
      <c r="Q67" s="15"/>
      <c r="R67" s="15"/>
      <c r="S67" s="15"/>
      <c r="T67" s="9">
        <f>VLOOKUP(B67,'2021'!$B$3:$F$100,2, FALSE)</f>
        <v>89.5</v>
      </c>
      <c r="U67" s="9">
        <f>VLOOKUP(B67,'2021'!$B$3:$F$100,3, FALSE)</f>
        <v>219</v>
      </c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</row>
    <row r="68" spans="1:33" x14ac:dyDescent="0.25">
      <c r="A68">
        <v>64</v>
      </c>
      <c r="B68" s="25" t="s">
        <v>237</v>
      </c>
      <c r="C68" s="12">
        <f t="shared" si="1"/>
        <v>123.5</v>
      </c>
      <c r="D68" s="12">
        <f t="shared" si="2"/>
        <v>286</v>
      </c>
      <c r="E68" s="34">
        <f t="shared" si="3"/>
        <v>0.43181818181818182</v>
      </c>
      <c r="F68" s="12">
        <f t="shared" si="4"/>
        <v>1</v>
      </c>
      <c r="G68" s="12" t="str">
        <f>INDEX(Records!$B$4:$D$102,MATCH(B68,Records!$C$4:$C$102,0),1)</f>
        <v>67th</v>
      </c>
      <c r="H68" s="12" t="str">
        <f>INDEX(Records!$F$4:$H$102,MATCH(B68,Records!$G$4:$G$102,0),1)</f>
        <v>67th</v>
      </c>
      <c r="J68" s="15"/>
      <c r="K68" s="15"/>
      <c r="L68" s="15"/>
      <c r="M68" s="15"/>
      <c r="N68" s="9">
        <f>VLOOKUP(B68,'2024'!$B$3:$F$100,2, FALSE)</f>
        <v>123.5</v>
      </c>
      <c r="O68" s="9">
        <f>VLOOKUP(B68,'2024'!$B$3:$F$100,3, FALSE)</f>
        <v>286</v>
      </c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 x14ac:dyDescent="0.25">
      <c r="A69">
        <v>65</v>
      </c>
      <c r="B69" s="25" t="s">
        <v>82</v>
      </c>
      <c r="C69" s="12">
        <f t="shared" si="1"/>
        <v>272</v>
      </c>
      <c r="D69" s="12">
        <f t="shared" si="2"/>
        <v>590</v>
      </c>
      <c r="E69" s="34">
        <f t="shared" si="3"/>
        <v>0.46101694915254238</v>
      </c>
      <c r="F69" s="12">
        <f t="shared" si="4"/>
        <v>2</v>
      </c>
      <c r="G69" s="12" t="str">
        <f>INDEX(Records!$B$4:$D$102,MATCH(B69,Records!$C$4:$C$102,0),1)</f>
        <v>45th</v>
      </c>
      <c r="H69" s="12" t="str">
        <f>INDEX(Records!$F$4:$H$102,MATCH(B69,Records!$G$4:$G$102,0),1)</f>
        <v>55th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9">
        <f>VLOOKUP(B69,'2019'!$B$3:$F$100,2, FALSE)</f>
        <v>154.5</v>
      </c>
      <c r="Y69" s="9">
        <f>VLOOKUP(B69,'2019'!$B$3:$F$100,3, FALSE)</f>
        <v>300</v>
      </c>
      <c r="Z69" s="9">
        <f>VLOOKUP(B69,'2018'!$B$3:$F$100,2, FALSE)</f>
        <v>117.5</v>
      </c>
      <c r="AA69" s="9">
        <f>VLOOKUP(B69,'2018'!$B$3:$F$100,3, FALSE)</f>
        <v>290</v>
      </c>
      <c r="AB69" s="15"/>
      <c r="AC69" s="15"/>
      <c r="AD69" s="15"/>
      <c r="AE69" s="15"/>
      <c r="AF69" s="15"/>
      <c r="AG69" s="15"/>
    </row>
    <row r="70" spans="1:33" x14ac:dyDescent="0.25">
      <c r="A70">
        <v>66</v>
      </c>
      <c r="B70" s="25" t="s">
        <v>213</v>
      </c>
      <c r="C70" s="12">
        <f t="shared" si="1"/>
        <v>293</v>
      </c>
      <c r="D70" s="12">
        <f t="shared" si="2"/>
        <v>625</v>
      </c>
      <c r="E70" s="34">
        <f t="shared" si="3"/>
        <v>0.46879999999999999</v>
      </c>
      <c r="F70" s="12">
        <f t="shared" si="4"/>
        <v>3</v>
      </c>
      <c r="G70" s="12" t="str">
        <f>INDEX(Records!$B$4:$D$102,MATCH(B70,Records!$C$4:$C$102,0),1)</f>
        <v>43rd</v>
      </c>
      <c r="H70" s="12" t="str">
        <f>INDEX(Records!$F$4:$H$102,MATCH(B70,Records!$G$4:$G$102,0),1)</f>
        <v>48th</v>
      </c>
      <c r="J70" s="9">
        <f>VLOOKUP(B70,'2026'!$B$3:$F$92,2, FALSE)</f>
        <v>91</v>
      </c>
      <c r="K70" s="9">
        <f>VLOOKUP(B70,'2026'!$B$3:$F$92,3, FALSE)</f>
        <v>180</v>
      </c>
      <c r="L70" s="9">
        <f>VLOOKUP(B70,'2025'!$B$3:$F$100,2, FALSE)</f>
        <v>139</v>
      </c>
      <c r="M70" s="9">
        <f>VLOOKUP(B70,'2025'!$B$3:$F$100,3, FALSE)</f>
        <v>285</v>
      </c>
      <c r="N70" s="15"/>
      <c r="O70" s="15"/>
      <c r="P70" s="9">
        <f>VLOOKUP(B70,'2023'!$B$3:$F$100,2, FALSE)</f>
        <v>63</v>
      </c>
      <c r="Q70" s="9">
        <f>VLOOKUP(B70,'2023'!$B$3:$F$100,3, FALSE)</f>
        <v>160</v>
      </c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 x14ac:dyDescent="0.25">
      <c r="A71">
        <v>67</v>
      </c>
      <c r="B71" s="25" t="s">
        <v>270</v>
      </c>
      <c r="C71" s="12">
        <f t="shared" ref="C71:C72" si="13">J71+L71+N71+P71+R71+T71+V71+X71+Z71+AB71+AD71+AF71</f>
        <v>201</v>
      </c>
      <c r="D71" s="12">
        <f t="shared" ref="D71:D72" si="14">K71+M71+O71+Q71+S71+U71+W71+Y71+AA71+AC71+AE71+AG71</f>
        <v>465</v>
      </c>
      <c r="E71" s="34">
        <f t="shared" ref="E71:E72" si="15">C71/D71</f>
        <v>0.43225806451612903</v>
      </c>
      <c r="F71" s="12">
        <f t="shared" ref="F71:F72" si="16">COUNT(J71:AAM71)/2</f>
        <v>2</v>
      </c>
      <c r="G71" s="12" t="str">
        <f>INDEX(Records!$B$4:$D$102,MATCH(B71,Records!$C$4:$C$102,0),1)</f>
        <v>51st</v>
      </c>
      <c r="H71" s="12" t="str">
        <f>INDEX(Records!$F$4:$H$102,MATCH(B71,Records!$G$4:$G$102,0),1)</f>
        <v>66th</v>
      </c>
      <c r="J71" s="9">
        <f>VLOOKUP(B71,'2026'!$B$3:$F$92,2, FALSE)</f>
        <v>85</v>
      </c>
      <c r="K71" s="9">
        <f>VLOOKUP(B71,'2026'!$B$3:$F$92,3, FALSE)</f>
        <v>180</v>
      </c>
      <c r="L71" s="9">
        <f>VLOOKUP(B71,'2025'!$B$3:$F$100,2, FALSE)</f>
        <v>116</v>
      </c>
      <c r="M71" s="9">
        <f>VLOOKUP(B71,'2025'!$B$3:$F$100,3, FALSE)</f>
        <v>285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</row>
    <row r="72" spans="1:33" x14ac:dyDescent="0.25">
      <c r="A72">
        <v>68</v>
      </c>
      <c r="B72" s="25" t="s">
        <v>269</v>
      </c>
      <c r="C72" s="12">
        <f t="shared" si="13"/>
        <v>224</v>
      </c>
      <c r="D72" s="12">
        <f t="shared" si="14"/>
        <v>465</v>
      </c>
      <c r="E72" s="34">
        <f t="shared" si="15"/>
        <v>0.48172043010752691</v>
      </c>
      <c r="F72" s="12">
        <f t="shared" si="16"/>
        <v>2</v>
      </c>
      <c r="G72" s="12" t="str">
        <f>INDEX(Records!$B$4:$D$102,MATCH(B72,Records!$C$4:$C$102,0),1)</f>
        <v>48th</v>
      </c>
      <c r="H72" s="12" t="str">
        <f>INDEX(Records!$F$4:$H$102,MATCH(B72,Records!$G$4:$G$102,0),1)</f>
        <v>38th</v>
      </c>
      <c r="J72" s="9">
        <f>VLOOKUP(B72,'2026'!$B$3:$F$92,2, FALSE)</f>
        <v>97</v>
      </c>
      <c r="K72" s="9">
        <f>VLOOKUP(B72,'2026'!$B$3:$F$92,3, FALSE)</f>
        <v>180</v>
      </c>
      <c r="L72" s="9">
        <f>VLOOKUP(B72,'2025'!$B$3:$F$100,2, FALSE)</f>
        <v>127</v>
      </c>
      <c r="M72" s="9">
        <f>VLOOKUP(B72,'2025'!$B$3:$F$100,3, FALSE)</f>
        <v>285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</row>
    <row r="73" spans="1:33" x14ac:dyDescent="0.25">
      <c r="A73">
        <v>69</v>
      </c>
      <c r="B73" s="25" t="s">
        <v>54</v>
      </c>
      <c r="C73" s="12">
        <f t="shared" si="1"/>
        <v>1269.5</v>
      </c>
      <c r="D73" s="12">
        <f t="shared" si="2"/>
        <v>2525</v>
      </c>
      <c r="E73" s="34">
        <f t="shared" si="3"/>
        <v>0.50277227722772277</v>
      </c>
      <c r="F73" s="12">
        <f t="shared" si="4"/>
        <v>9</v>
      </c>
      <c r="G73" s="12" t="str">
        <f>INDEX(Records!$B$4:$D$102,MATCH(B73,Records!$C$4:$C$102,0),1)</f>
        <v>17th</v>
      </c>
      <c r="H73" s="12" t="str">
        <f>INDEX(Records!$F$4:$H$102,MATCH(B73,Records!$G$4:$G$102,0),1)</f>
        <v>6th</v>
      </c>
      <c r="J73" s="9">
        <f>VLOOKUP(B73,'2026'!$B$3:$F$92,2, FALSE)</f>
        <v>93</v>
      </c>
      <c r="K73" s="9">
        <f>VLOOKUP(B73,'2026'!$B$3:$F$92,3, FALSE)</f>
        <v>180</v>
      </c>
      <c r="L73" s="9">
        <f>VLOOKUP(B73,'2025'!$B$3:$F$100,2, FALSE)</f>
        <v>146</v>
      </c>
      <c r="M73" s="9">
        <f>VLOOKUP(B73,'2025'!$B$3:$F$100,3, FALSE)</f>
        <v>285</v>
      </c>
      <c r="N73" s="9">
        <f>VLOOKUP(B73,'2024'!$B$3:$F$100,2, FALSE)</f>
        <v>153</v>
      </c>
      <c r="O73" s="9">
        <f>VLOOKUP(B73,'2024'!$B$3:$F$100,3, FALSE)</f>
        <v>310</v>
      </c>
      <c r="P73" s="9">
        <f>VLOOKUP(B73,'2023'!$B$3:$F$100,2, FALSE)</f>
        <v>149.5</v>
      </c>
      <c r="Q73" s="9">
        <f>VLOOKUP(B73,'2023'!$B$3:$F$100,3, FALSE)</f>
        <v>290</v>
      </c>
      <c r="R73" s="9">
        <f>VLOOKUP(B73,'2022'!$B$3:$F$100,2, FALSE)</f>
        <v>137.5</v>
      </c>
      <c r="S73" s="9">
        <f>VLOOKUP(B73,'2022'!$B$3:$F$100,3, FALSE)</f>
        <v>290</v>
      </c>
      <c r="T73" s="9">
        <f>VLOOKUP(B73,'2021'!$B$3:$F$100,2, FALSE)</f>
        <v>143.5</v>
      </c>
      <c r="U73" s="9">
        <f>VLOOKUP(B73,'2021'!$B$3:$F$100,3, FALSE)</f>
        <v>288</v>
      </c>
      <c r="V73" s="9">
        <f>VLOOKUP(B73,'2020'!$B$3:$F$100,2, FALSE)</f>
        <v>148</v>
      </c>
      <c r="W73" s="9">
        <f>VLOOKUP(B73,'2020'!$B$3:$F$100,3, FALSE)</f>
        <v>292</v>
      </c>
      <c r="X73" s="9">
        <f>VLOOKUP(B73,'2019'!$B$3:$F$100,2, FALSE)</f>
        <v>159.5</v>
      </c>
      <c r="Y73" s="9">
        <f>VLOOKUP(B73,'2019'!$B$3:$F$100,3, FALSE)</f>
        <v>300</v>
      </c>
      <c r="Z73" s="15"/>
      <c r="AA73" s="15"/>
      <c r="AB73" s="9">
        <f>VLOOKUP(B73,'2017'!$B$3:$F$100,2, FALSE)</f>
        <v>139.5</v>
      </c>
      <c r="AC73" s="9">
        <f>VLOOKUP(B73,'2017'!$B$3:$F$100,3, FALSE)</f>
        <v>290</v>
      </c>
      <c r="AD73" s="15"/>
      <c r="AE73" s="15"/>
      <c r="AF73" s="15"/>
      <c r="AG73" s="15"/>
    </row>
    <row r="74" spans="1:33" x14ac:dyDescent="0.25">
      <c r="A74">
        <v>70</v>
      </c>
      <c r="B74" s="25" t="s">
        <v>239</v>
      </c>
      <c r="C74" s="12">
        <f t="shared" ref="C74:C77" si="17">J74+L74+N74+P74+R74+T74+V74+X74+Z74+AB74+AD74+AF74</f>
        <v>391.5</v>
      </c>
      <c r="D74" s="12">
        <f t="shared" ref="D74:D77" si="18">K74+M74+O74+Q74+S74+U74+W74+Y74+AA74+AC74+AE74+AG74</f>
        <v>775</v>
      </c>
      <c r="E74" s="34">
        <f t="shared" ref="E74:E77" si="19">C74/D74</f>
        <v>0.50516129032258061</v>
      </c>
      <c r="F74" s="12">
        <f t="shared" ref="F74:F77" si="20">COUNT(J74:AAM74)/2</f>
        <v>3</v>
      </c>
      <c r="G74" s="12" t="str">
        <f>INDEX(Records!$B$4:$D$102,MATCH(B74,Records!$C$4:$C$102,0),1)</f>
        <v>39th</v>
      </c>
      <c r="H74" s="12" t="str">
        <f>INDEX(Records!$F$4:$H$102,MATCH(B74,Records!$G$4:$G$102,0),1)</f>
        <v>5th</v>
      </c>
      <c r="J74" s="9">
        <f>VLOOKUP(B74,'2026'!$B$3:$F$92,2, FALSE)</f>
        <v>84</v>
      </c>
      <c r="K74" s="9">
        <f>VLOOKUP(B74,'2026'!$B$3:$F$92,3, FALSE)</f>
        <v>180</v>
      </c>
      <c r="L74" s="9">
        <f>VLOOKUP(B74,'2025'!$B$3:$F$100,2, FALSE)</f>
        <v>154</v>
      </c>
      <c r="M74" s="9">
        <f>VLOOKUP(B74,'2025'!$B$3:$F$100,3, FALSE)</f>
        <v>285</v>
      </c>
      <c r="N74" s="9">
        <f>VLOOKUP(B74,'2024'!$B$3:$F$100,2, FALSE)</f>
        <v>153.5</v>
      </c>
      <c r="O74" s="9">
        <f>VLOOKUP(B74,'2024'!$B$3:$F$100,3, FALSE)</f>
        <v>310</v>
      </c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1:33" x14ac:dyDescent="0.25">
      <c r="A75">
        <v>71</v>
      </c>
      <c r="B75" s="25" t="s">
        <v>37</v>
      </c>
      <c r="C75" s="12">
        <f t="shared" si="17"/>
        <v>265</v>
      </c>
      <c r="D75" s="12">
        <f t="shared" si="18"/>
        <v>578</v>
      </c>
      <c r="E75" s="34">
        <f t="shared" si="19"/>
        <v>0.45847750865051901</v>
      </c>
      <c r="F75" s="12">
        <f t="shared" si="20"/>
        <v>2</v>
      </c>
      <c r="G75" s="12" t="str">
        <f>INDEX(Records!$B$4:$D$102,MATCH(B75,Records!$C$4:$C$102,0),1)</f>
        <v>46th</v>
      </c>
      <c r="H75" s="12" t="str">
        <f>INDEX(Records!$F$4:$H$102,MATCH(B75,Records!$G$4:$G$102,0),1)</f>
        <v>56th</v>
      </c>
      <c r="J75" s="15"/>
      <c r="K75" s="15"/>
      <c r="L75" s="15"/>
      <c r="M75" s="15"/>
      <c r="N75" s="15"/>
      <c r="O75" s="15"/>
      <c r="P75" s="15"/>
      <c r="Q75" s="15"/>
      <c r="R75" s="9">
        <f>VLOOKUP(B75,'2022'!$B$3:$F$100,2, FALSE)</f>
        <v>118.5</v>
      </c>
      <c r="S75" s="9">
        <f>VLOOKUP(B75,'2022'!$B$3:$F$100,3, FALSE)</f>
        <v>290</v>
      </c>
      <c r="T75" s="9">
        <f>VLOOKUP(B75,'2021'!$B$3:$F$100,2, FALSE)</f>
        <v>146.5</v>
      </c>
      <c r="U75" s="9">
        <f>VLOOKUP(B75,'2021'!$B$3:$F$100,3, FALSE)</f>
        <v>288</v>
      </c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1:33" x14ac:dyDescent="0.25">
      <c r="A76">
        <v>72</v>
      </c>
      <c r="B76" s="25" t="s">
        <v>190</v>
      </c>
      <c r="C76" s="12">
        <f t="shared" si="17"/>
        <v>143.5</v>
      </c>
      <c r="D76" s="12">
        <f t="shared" si="18"/>
        <v>290</v>
      </c>
      <c r="E76" s="34">
        <f t="shared" si="19"/>
        <v>0.49482758620689654</v>
      </c>
      <c r="F76" s="12">
        <f t="shared" si="20"/>
        <v>1</v>
      </c>
      <c r="G76" s="12" t="str">
        <f>INDEX(Records!$B$4:$D$102,MATCH(B76,Records!$C$4:$C$102,0),1)</f>
        <v>58th</v>
      </c>
      <c r="H76" s="12" t="str">
        <f>INDEX(Records!$F$4:$H$102,MATCH(B76,Records!$G$4:$G$102,0),1)</f>
        <v>18th</v>
      </c>
      <c r="J76" s="15"/>
      <c r="K76" s="15"/>
      <c r="L76" s="15"/>
      <c r="M76" s="15"/>
      <c r="N76" s="15"/>
      <c r="O76" s="15"/>
      <c r="P76" s="15"/>
      <c r="Q76" s="15"/>
      <c r="R76" s="9">
        <f>VLOOKUP(B76,'2022'!$B$3:$F$100,2, FALSE)</f>
        <v>143.5</v>
      </c>
      <c r="S76" s="9">
        <f>VLOOKUP(B76,'2022'!$B$3:$F$100,3, FALSE)</f>
        <v>290</v>
      </c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</row>
    <row r="77" spans="1:33" x14ac:dyDescent="0.25">
      <c r="B77" s="25" t="s">
        <v>106</v>
      </c>
      <c r="C77" s="12">
        <f t="shared" si="17"/>
        <v>1696</v>
      </c>
      <c r="D77" s="12">
        <f t="shared" si="18"/>
        <v>3455</v>
      </c>
      <c r="E77" s="34">
        <f t="shared" si="19"/>
        <v>0.49088277858176554</v>
      </c>
      <c r="F77" s="12">
        <f t="shared" si="20"/>
        <v>12</v>
      </c>
      <c r="G77" s="12" t="str">
        <f>INDEX(Records!$B$4:$D$102,MATCH(B77,Records!$C$4:$C$102,0),1)</f>
        <v>-</v>
      </c>
      <c r="H77" s="12" t="str">
        <f>INDEX(Records!$F$4:$H$102,MATCH(B77,Records!$G$4:$G$102,0),1)</f>
        <v>-</v>
      </c>
      <c r="J77" s="9">
        <f>VLOOKUP(B77,'2026'!$B$3:$F$92,2, FALSE)</f>
        <v>86.5</v>
      </c>
      <c r="K77" s="9">
        <f>VLOOKUP(B77,'2026'!$B$3:$F$92,3, FALSE)</f>
        <v>180</v>
      </c>
      <c r="L77" s="9">
        <f>VLOOKUP(B77,'2025'!$B$3:$F$100,2, FALSE)</f>
        <v>130.5</v>
      </c>
      <c r="M77" s="9">
        <f>VLOOKUP(B77,'2025'!$B$3:$F$100,3, FALSE)</f>
        <v>285</v>
      </c>
      <c r="N77" s="9">
        <f>VLOOKUP(B77,'2024'!$B$3:$F$100,2, FALSE)</f>
        <v>157.5</v>
      </c>
      <c r="O77" s="9">
        <f>VLOOKUP(B77,'2024'!$B$3:$F$100,3, FALSE)</f>
        <v>310</v>
      </c>
      <c r="P77" s="9">
        <f>VLOOKUP(B77,'2023'!$B$3:$F$100,2, FALSE)</f>
        <v>154.5</v>
      </c>
      <c r="Q77" s="9">
        <f>VLOOKUP(B77,'2023'!$B$3:$F$100,3, FALSE)</f>
        <v>290</v>
      </c>
      <c r="R77" s="9">
        <f>VLOOKUP(B77,'2022'!$B$3:$F$100,2, FALSE)</f>
        <v>138</v>
      </c>
      <c r="S77" s="9">
        <f>VLOOKUP(B77,'2022'!$B$3:$F$100,3, FALSE)</f>
        <v>290</v>
      </c>
      <c r="T77" s="9">
        <f>VLOOKUP(B77,'2021'!$B$3:$F$100,2, FALSE)</f>
        <v>148</v>
      </c>
      <c r="U77" s="9">
        <f>VLOOKUP(B77,'2021'!$B$3:$F$100,3, FALSE)</f>
        <v>288</v>
      </c>
      <c r="V77" s="9">
        <f>VLOOKUP(B77,'2020'!$B$3:$F$100,2, FALSE)</f>
        <v>140</v>
      </c>
      <c r="W77" s="9">
        <f>VLOOKUP(B77,'2020'!$B$3:$F$100,3, FALSE)</f>
        <v>292</v>
      </c>
      <c r="X77" s="9">
        <f>VLOOKUP(B77,'2019'!$B$3:$F$100,2, FALSE)</f>
        <v>153.5</v>
      </c>
      <c r="Y77" s="9">
        <f>VLOOKUP(B77,'2019'!$B$3:$F$100,3, FALSE)</f>
        <v>300</v>
      </c>
      <c r="Z77" s="9">
        <f>VLOOKUP(B77,'2018'!$B$3:$F$100,2, FALSE)</f>
        <v>127.5</v>
      </c>
      <c r="AA77" s="9">
        <f>VLOOKUP(B77,'2018'!$B$3:$F$100,3, FALSE)</f>
        <v>290</v>
      </c>
      <c r="AB77" s="9">
        <f>VLOOKUP(B77,'2017'!$B$3:$F$100,2, FALSE)</f>
        <v>144.5</v>
      </c>
      <c r="AC77" s="9">
        <f>VLOOKUP(B77,'2017'!$B$3:$F$100,3, FALSE)</f>
        <v>290</v>
      </c>
      <c r="AD77" s="9">
        <f>VLOOKUP(B77,'2016'!$B$3:$F$100,2, FALSE)</f>
        <v>129.5</v>
      </c>
      <c r="AE77" s="9">
        <f>VLOOKUP(B77,'2016'!$B$3:$F$100,3, FALSE)</f>
        <v>290</v>
      </c>
      <c r="AF77" s="9">
        <f>VLOOKUP(B77,'2015'!$B$3:$F$100,2, FALSE)</f>
        <v>186</v>
      </c>
      <c r="AG77" s="9">
        <f>VLOOKUP(B77,'2015'!$B$3:$F$100,3, FALSE)</f>
        <v>350</v>
      </c>
    </row>
  </sheetData>
  <sortState xmlns:xlrd2="http://schemas.microsoft.com/office/spreadsheetml/2017/richdata2" ref="B5:W53">
    <sortCondition ref="B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310"/>
  <sheetViews>
    <sheetView workbookViewId="0"/>
  </sheetViews>
  <sheetFormatPr defaultColWidth="8.85546875" defaultRowHeight="15" x14ac:dyDescent="0.25"/>
  <cols>
    <col min="1" max="1" width="2.7109375" style="35" customWidth="1"/>
    <col min="2" max="2" width="7" style="28" bestFit="1" customWidth="1"/>
    <col min="3" max="3" width="19.7109375" customWidth="1"/>
    <col min="4" max="4" width="7.42578125" bestFit="1" customWidth="1"/>
    <col min="5" max="5" width="2.7109375" style="35" customWidth="1"/>
    <col min="6" max="6" width="6.5703125" style="28" bestFit="1" customWidth="1"/>
    <col min="7" max="7" width="19.7109375" bestFit="1" customWidth="1"/>
    <col min="8" max="8" width="8.140625" style="37" bestFit="1" customWidth="1"/>
    <col min="9" max="9" width="2.7109375" style="35" customWidth="1"/>
    <col min="10" max="10" width="6.5703125" style="28" customWidth="1"/>
    <col min="11" max="11" width="19.7109375" customWidth="1"/>
    <col min="12" max="12" width="8.140625" style="37" customWidth="1"/>
    <col min="13" max="13" width="7.42578125" customWidth="1"/>
    <col min="14" max="14" width="1.85546875" customWidth="1"/>
    <col min="15" max="15" width="5.42578125" customWidth="1"/>
    <col min="16" max="16" width="5" style="9" customWidth="1"/>
    <col min="17" max="17" width="2.7109375" style="35" customWidth="1"/>
    <col min="18" max="18" width="6.5703125" style="35" customWidth="1"/>
    <col min="19" max="19" width="19.7109375" style="35" customWidth="1"/>
    <col min="20" max="20" width="8.140625" style="35" customWidth="1"/>
    <col min="21" max="21" width="7.42578125" style="35" customWidth="1"/>
    <col min="22" max="22" width="1.85546875" style="35" customWidth="1"/>
    <col min="23" max="23" width="5.42578125" style="35" customWidth="1"/>
    <col min="24" max="24" width="5" style="35" customWidth="1"/>
    <col min="25" max="25" width="2.7109375" style="35" customWidth="1"/>
    <col min="26" max="26" width="5.5703125" bestFit="1" customWidth="1"/>
    <col min="27" max="27" width="19.7109375" customWidth="1"/>
    <col min="28" max="28" width="4.7109375" bestFit="1" customWidth="1"/>
    <col min="29" max="29" width="16.28515625" bestFit="1" customWidth="1"/>
    <col min="30" max="30" width="12.42578125" bestFit="1" customWidth="1"/>
    <col min="31" max="31" width="2.7109375" style="35" customWidth="1"/>
    <col min="32" max="32" width="5.42578125" style="28" bestFit="1" customWidth="1"/>
    <col min="33" max="33" width="21.140625" bestFit="1" customWidth="1"/>
    <col min="34" max="34" width="9.140625" style="9" bestFit="1" customWidth="1"/>
    <col min="35" max="35" width="7" style="28" bestFit="1" customWidth="1"/>
    <col min="36" max="36" width="1.85546875" style="9" bestFit="1" customWidth="1"/>
    <col min="37" max="37" width="5" style="147" bestFit="1" customWidth="1"/>
    <col min="38" max="38" width="19.140625" style="9" bestFit="1" customWidth="1"/>
    <col min="39" max="39" width="2.7109375" style="35" customWidth="1"/>
    <col min="40" max="40" width="6.5703125" style="28" bestFit="1" customWidth="1"/>
    <col min="41" max="41" width="19.7109375" customWidth="1"/>
    <col min="42" max="42" width="5.5703125" style="9" bestFit="1" customWidth="1"/>
    <col min="43" max="43" width="5" style="9" bestFit="1" customWidth="1"/>
    <col min="44" max="44" width="2.7109375" style="35" customWidth="1"/>
    <col min="45" max="45" width="7" style="28" bestFit="1" customWidth="1"/>
    <col min="46" max="46" width="19.7109375" customWidth="1"/>
    <col min="47" max="47" width="6.5703125" style="105" bestFit="1" customWidth="1"/>
    <col min="48" max="48" width="2.7109375" style="35" customWidth="1"/>
    <col min="49" max="49" width="19.7109375" customWidth="1"/>
    <col min="50" max="50" width="7.140625" bestFit="1" customWidth="1"/>
    <col min="51" max="51" width="5" bestFit="1" customWidth="1"/>
    <col min="52" max="52" width="1.85546875" bestFit="1" customWidth="1"/>
    <col min="53" max="53" width="3" bestFit="1" customWidth="1"/>
    <col min="54" max="54" width="5" bestFit="1" customWidth="1"/>
    <col min="55" max="55" width="2.7109375" style="35" customWidth="1"/>
  </cols>
  <sheetData>
    <row r="1" spans="1:55" s="78" customFormat="1" ht="18.75" x14ac:dyDescent="0.3">
      <c r="B1" s="79"/>
      <c r="C1" s="173" t="s">
        <v>286</v>
      </c>
      <c r="D1" s="196" t="s">
        <v>340</v>
      </c>
      <c r="F1" s="79"/>
      <c r="H1" s="80"/>
      <c r="J1" s="79"/>
      <c r="K1" s="78" t="s">
        <v>176</v>
      </c>
      <c r="L1" s="80"/>
      <c r="P1" s="81"/>
      <c r="S1" s="78" t="s">
        <v>343</v>
      </c>
      <c r="AA1" s="78" t="s">
        <v>164</v>
      </c>
      <c r="AF1" s="79"/>
      <c r="AG1" s="78" t="s">
        <v>179</v>
      </c>
      <c r="AH1" s="81"/>
      <c r="AI1" s="79"/>
      <c r="AJ1" s="81"/>
      <c r="AK1" s="144"/>
      <c r="AL1" s="81"/>
      <c r="AN1" s="79"/>
      <c r="AO1" s="78" t="s">
        <v>206</v>
      </c>
      <c r="AP1" s="81"/>
      <c r="AQ1" s="81"/>
      <c r="AS1" s="79"/>
      <c r="AT1" s="191" t="s">
        <v>338</v>
      </c>
      <c r="AU1" s="121"/>
      <c r="AW1" s="78" t="s">
        <v>293</v>
      </c>
    </row>
    <row r="2" spans="1:55" s="35" customFormat="1" ht="15.75" thickBot="1" x14ac:dyDescent="0.3">
      <c r="B2" s="26"/>
      <c r="F2" s="26"/>
      <c r="H2" s="36"/>
      <c r="J2" s="26"/>
      <c r="L2" s="36"/>
      <c r="P2" s="3"/>
      <c r="AF2" s="26"/>
      <c r="AH2" s="3"/>
      <c r="AI2" s="26"/>
      <c r="AJ2" s="3"/>
      <c r="AK2" s="145"/>
      <c r="AL2" s="3"/>
      <c r="AN2" s="26"/>
      <c r="AP2" s="3"/>
      <c r="AQ2" s="3"/>
      <c r="AS2" s="26"/>
      <c r="AU2" s="122"/>
    </row>
    <row r="3" spans="1:55" s="10" customFormat="1" x14ac:dyDescent="0.25">
      <c r="A3" s="64"/>
      <c r="B3" s="63"/>
      <c r="C3" s="39" t="s">
        <v>157</v>
      </c>
      <c r="D3" s="120" t="s">
        <v>223</v>
      </c>
      <c r="E3" s="64"/>
      <c r="F3" s="63"/>
      <c r="G3" s="39" t="s">
        <v>110</v>
      </c>
      <c r="H3" s="120" t="s">
        <v>3</v>
      </c>
      <c r="I3" s="64"/>
      <c r="J3" s="77"/>
      <c r="K3" s="67" t="s">
        <v>0</v>
      </c>
      <c r="L3" s="72" t="s">
        <v>3</v>
      </c>
      <c r="M3" s="67" t="s">
        <v>1</v>
      </c>
      <c r="N3" s="67"/>
      <c r="O3" s="67" t="s">
        <v>2</v>
      </c>
      <c r="P3" s="68" t="s">
        <v>163</v>
      </c>
      <c r="Q3" s="64"/>
      <c r="R3" s="77"/>
      <c r="S3" s="67" t="s">
        <v>0</v>
      </c>
      <c r="T3" s="72" t="s">
        <v>3</v>
      </c>
      <c r="U3" s="67" t="s">
        <v>1</v>
      </c>
      <c r="V3" s="67"/>
      <c r="W3" s="67" t="s">
        <v>2</v>
      </c>
      <c r="X3" s="68" t="s">
        <v>163</v>
      </c>
      <c r="Y3" s="64"/>
      <c r="Z3" s="70"/>
      <c r="AA3" s="67" t="s">
        <v>0</v>
      </c>
      <c r="AB3" s="67" t="s">
        <v>159</v>
      </c>
      <c r="AC3" s="68" t="s">
        <v>158</v>
      </c>
      <c r="AD3" s="10" t="s">
        <v>160</v>
      </c>
      <c r="AE3" s="64"/>
      <c r="AF3" s="88"/>
      <c r="AG3" s="67" t="s">
        <v>272</v>
      </c>
      <c r="AH3" s="72" t="s">
        <v>3</v>
      </c>
      <c r="AI3" s="143"/>
      <c r="AJ3" s="67"/>
      <c r="AK3" s="146"/>
      <c r="AL3" s="68"/>
      <c r="AM3" s="64"/>
      <c r="AN3" s="88"/>
      <c r="AO3" s="67" t="s">
        <v>0</v>
      </c>
      <c r="AP3" s="72" t="s">
        <v>207</v>
      </c>
      <c r="AQ3" s="68" t="s">
        <v>163</v>
      </c>
      <c r="AR3" s="64"/>
      <c r="AS3" s="77"/>
      <c r="AT3" s="67" t="s">
        <v>226</v>
      </c>
      <c r="AU3" s="123" t="s">
        <v>207</v>
      </c>
      <c r="AV3" s="64"/>
      <c r="AW3" s="153" t="s">
        <v>255</v>
      </c>
      <c r="AX3" s="154"/>
      <c r="AY3" s="39"/>
      <c r="AZ3" s="39"/>
      <c r="BA3" s="39"/>
      <c r="BB3" s="155" t="s">
        <v>163</v>
      </c>
      <c r="BC3" s="64"/>
    </row>
    <row r="4" spans="1:55" x14ac:dyDescent="0.25">
      <c r="A4" s="103"/>
      <c r="B4" s="131" t="s">
        <v>111</v>
      </c>
      <c r="C4" s="95" t="s">
        <v>48</v>
      </c>
      <c r="D4" s="133">
        <f>VLOOKUP(C4,College!$B$5:$E$124,2, FALSE)</f>
        <v>1716</v>
      </c>
      <c r="F4" s="40" t="s">
        <v>111</v>
      </c>
      <c r="G4" s="38" t="s">
        <v>240</v>
      </c>
      <c r="H4" s="41">
        <f>VLOOKUP(G4,College!$B$5:$E$124,4, FALSE)</f>
        <v>0.5268817204301075</v>
      </c>
      <c r="J4" s="40" t="s">
        <v>111</v>
      </c>
      <c r="K4" s="38" t="s">
        <v>212</v>
      </c>
      <c r="L4" s="71">
        <v>0.5672413793103448</v>
      </c>
      <c r="M4" s="38">
        <v>164.5</v>
      </c>
      <c r="N4" s="75" t="s">
        <v>175</v>
      </c>
      <c r="O4" s="73">
        <v>290</v>
      </c>
      <c r="P4" s="44">
        <v>2023</v>
      </c>
      <c r="R4" s="40" t="s">
        <v>111</v>
      </c>
      <c r="S4" s="38" t="s">
        <v>251</v>
      </c>
      <c r="T4" s="71">
        <v>0.58413461538461542</v>
      </c>
      <c r="U4" s="38">
        <v>121.5</v>
      </c>
      <c r="V4" s="75" t="s">
        <v>175</v>
      </c>
      <c r="W4" s="73">
        <v>208</v>
      </c>
      <c r="X4" s="44">
        <v>2021</v>
      </c>
      <c r="Z4" s="40" t="s">
        <v>172</v>
      </c>
      <c r="AA4" s="38" t="s">
        <v>59</v>
      </c>
      <c r="AB4" s="65">
        <v>3</v>
      </c>
      <c r="AC4" s="44" t="s">
        <v>233</v>
      </c>
      <c r="AD4" s="65" t="s">
        <v>161</v>
      </c>
      <c r="AF4" s="40" t="s">
        <v>111</v>
      </c>
      <c r="AG4" s="38" t="s">
        <v>50</v>
      </c>
      <c r="AH4" s="71">
        <f>AI4/AK4</f>
        <v>0.50016622340425532</v>
      </c>
      <c r="AI4" s="76">
        <v>1504.5</v>
      </c>
      <c r="AJ4" s="75" t="s">
        <v>175</v>
      </c>
      <c r="AK4" s="73">
        <v>3008</v>
      </c>
      <c r="AL4" s="89" t="s">
        <v>273</v>
      </c>
      <c r="AN4" s="40" t="s">
        <v>111</v>
      </c>
      <c r="AO4" s="38" t="s">
        <v>40</v>
      </c>
      <c r="AP4" s="108">
        <v>4.1666666666666661</v>
      </c>
      <c r="AQ4" s="44">
        <v>2016</v>
      </c>
      <c r="AS4" s="40" t="s">
        <v>111</v>
      </c>
      <c r="AT4" s="38" t="s">
        <v>40</v>
      </c>
      <c r="AU4" s="124">
        <f>VLOOKUP(AT4,'Weekly Wins'!$B$3:$C$1002,2, FALSE)</f>
        <v>17.041666666666664</v>
      </c>
      <c r="AW4" s="152" t="s">
        <v>42</v>
      </c>
      <c r="AX4" s="138">
        <f t="shared" ref="AX4:AX67" si="0">AY4/BA4</f>
        <v>0.72058823529411764</v>
      </c>
      <c r="AY4" s="94">
        <v>24.5</v>
      </c>
      <c r="AZ4" s="137" t="s">
        <v>175</v>
      </c>
      <c r="BA4" s="130">
        <v>34</v>
      </c>
      <c r="BB4" s="133">
        <v>2019</v>
      </c>
    </row>
    <row r="5" spans="1:55" x14ac:dyDescent="0.25">
      <c r="A5" s="103"/>
      <c r="B5" s="40" t="s">
        <v>112</v>
      </c>
      <c r="C5" s="38" t="s">
        <v>50</v>
      </c>
      <c r="D5" s="44">
        <f>VLOOKUP(C5,College!$B$5:$E$124,2, FALSE)</f>
        <v>1714.5</v>
      </c>
      <c r="F5" s="40" t="s">
        <v>112</v>
      </c>
      <c r="G5" s="38" t="s">
        <v>212</v>
      </c>
      <c r="H5" s="41">
        <f>VLOOKUP(G5,College!$B$5:$E$124,4, FALSE)</f>
        <v>0.5169014084507042</v>
      </c>
      <c r="J5" s="40" t="s">
        <v>112</v>
      </c>
      <c r="K5" s="38" t="s">
        <v>42</v>
      </c>
      <c r="L5" s="71">
        <v>0.55833333333333335</v>
      </c>
      <c r="M5" s="38">
        <v>167.5</v>
      </c>
      <c r="N5" s="75" t="s">
        <v>175</v>
      </c>
      <c r="O5" s="73">
        <v>300</v>
      </c>
      <c r="P5" s="44">
        <v>2019</v>
      </c>
      <c r="R5" s="40" t="s">
        <v>112</v>
      </c>
      <c r="S5" s="38" t="s">
        <v>224</v>
      </c>
      <c r="T5" s="71">
        <v>0.53947368421052633</v>
      </c>
      <c r="U5" s="38">
        <v>102.5</v>
      </c>
      <c r="V5" s="75" t="s">
        <v>175</v>
      </c>
      <c r="W5" s="73">
        <v>190</v>
      </c>
      <c r="X5" s="44">
        <v>2023</v>
      </c>
      <c r="Z5" s="40" t="s">
        <v>172</v>
      </c>
      <c r="AA5" s="38" t="s">
        <v>43</v>
      </c>
      <c r="AB5" s="65">
        <v>3</v>
      </c>
      <c r="AC5" s="44" t="s">
        <v>233</v>
      </c>
      <c r="AD5" s="65" t="s">
        <v>161</v>
      </c>
      <c r="AF5" s="40" t="s">
        <v>112</v>
      </c>
      <c r="AG5" s="38" t="s">
        <v>48</v>
      </c>
      <c r="AH5" s="71">
        <f>AI5/AK5</f>
        <v>0.4990026595744681</v>
      </c>
      <c r="AI5" s="76">
        <v>1501</v>
      </c>
      <c r="AJ5" s="75" t="s">
        <v>175</v>
      </c>
      <c r="AK5" s="73">
        <v>3008</v>
      </c>
      <c r="AL5" s="89" t="s">
        <v>273</v>
      </c>
      <c r="AN5" s="40" t="s">
        <v>112</v>
      </c>
      <c r="AO5" s="38" t="s">
        <v>60</v>
      </c>
      <c r="AP5" s="108">
        <v>3.2</v>
      </c>
      <c r="AQ5" s="44">
        <v>2025</v>
      </c>
      <c r="AS5" s="40" t="s">
        <v>112</v>
      </c>
      <c r="AT5" s="38" t="s">
        <v>60</v>
      </c>
      <c r="AU5" s="124">
        <f>VLOOKUP(AT5,'Weekly Wins'!$B$3:$C$1002,2, FALSE)</f>
        <v>11.783333333333333</v>
      </c>
      <c r="AW5" s="139" t="s">
        <v>50</v>
      </c>
      <c r="AX5" s="175">
        <f t="shared" si="0"/>
        <v>0.7142857142857143</v>
      </c>
      <c r="AY5" s="38">
        <v>25</v>
      </c>
      <c r="AZ5" s="135" t="s">
        <v>175</v>
      </c>
      <c r="BA5" s="73">
        <v>35</v>
      </c>
      <c r="BB5" s="44">
        <v>2025</v>
      </c>
    </row>
    <row r="6" spans="1:55" x14ac:dyDescent="0.25">
      <c r="A6" s="103"/>
      <c r="B6" s="131" t="s">
        <v>113</v>
      </c>
      <c r="C6" s="38" t="s">
        <v>55</v>
      </c>
      <c r="D6" s="44">
        <f>VLOOKUP(C6,College!$B$5:$E$124,2, FALSE)</f>
        <v>1711.5</v>
      </c>
      <c r="F6" s="40" t="s">
        <v>113</v>
      </c>
      <c r="G6" s="38" t="s">
        <v>191</v>
      </c>
      <c r="H6" s="41">
        <f>VLOOKUP(G6,College!$B$5:$E$124,4, FALSE)</f>
        <v>0.50996309963099629</v>
      </c>
      <c r="J6" s="40" t="s">
        <v>113</v>
      </c>
      <c r="K6" s="38" t="s">
        <v>55</v>
      </c>
      <c r="L6" s="71">
        <v>0.55689655172413788</v>
      </c>
      <c r="M6" s="38">
        <v>161.5</v>
      </c>
      <c r="N6" s="75" t="s">
        <v>175</v>
      </c>
      <c r="O6" s="73">
        <v>290</v>
      </c>
      <c r="P6" s="44">
        <v>2023</v>
      </c>
      <c r="R6" s="40" t="s">
        <v>113</v>
      </c>
      <c r="S6" s="38" t="s">
        <v>251</v>
      </c>
      <c r="T6" s="71">
        <v>0.5234375</v>
      </c>
      <c r="U6" s="38">
        <v>134</v>
      </c>
      <c r="V6" s="75" t="s">
        <v>175</v>
      </c>
      <c r="W6" s="73">
        <v>256</v>
      </c>
      <c r="X6" s="44">
        <v>2022</v>
      </c>
      <c r="Z6" s="40" t="s">
        <v>172</v>
      </c>
      <c r="AA6" s="38" t="s">
        <v>36</v>
      </c>
      <c r="AB6" s="65">
        <v>3</v>
      </c>
      <c r="AC6" s="44" t="s">
        <v>233</v>
      </c>
      <c r="AD6" s="65" t="s">
        <v>161</v>
      </c>
      <c r="AF6" s="40" t="s">
        <v>113</v>
      </c>
      <c r="AG6" s="38" t="s">
        <v>45</v>
      </c>
      <c r="AH6" s="71">
        <f>AI6/AK6</f>
        <v>0.49392247043363996</v>
      </c>
      <c r="AI6" s="76">
        <v>1503.5</v>
      </c>
      <c r="AJ6" s="75" t="s">
        <v>175</v>
      </c>
      <c r="AK6" s="76">
        <v>3044</v>
      </c>
      <c r="AL6" s="89" t="s">
        <v>274</v>
      </c>
      <c r="AN6" s="40" t="s">
        <v>113</v>
      </c>
      <c r="AO6" s="38" t="s">
        <v>251</v>
      </c>
      <c r="AP6" s="108">
        <v>3</v>
      </c>
      <c r="AQ6" s="44">
        <v>2021</v>
      </c>
      <c r="AS6" s="40" t="s">
        <v>113</v>
      </c>
      <c r="AT6" s="38" t="s">
        <v>45</v>
      </c>
      <c r="AU6" s="124">
        <f>VLOOKUP(AT6,'Weekly Wins'!$B$3:$C$1002,2, FALSE)</f>
        <v>10.658333333333333</v>
      </c>
      <c r="AW6" s="139" t="s">
        <v>61</v>
      </c>
      <c r="AX6" s="136">
        <f t="shared" si="0"/>
        <v>0.70588235294117652</v>
      </c>
      <c r="AY6" s="76">
        <v>24</v>
      </c>
      <c r="AZ6" s="135" t="s">
        <v>175</v>
      </c>
      <c r="BA6" s="73">
        <v>34</v>
      </c>
      <c r="BB6" s="44">
        <v>2019</v>
      </c>
    </row>
    <row r="7" spans="1:55" x14ac:dyDescent="0.25">
      <c r="A7" s="103"/>
      <c r="B7" s="48" t="s">
        <v>63</v>
      </c>
      <c r="C7" s="46" t="s">
        <v>106</v>
      </c>
      <c r="D7" s="47">
        <f>VLOOKUP(C7,College!$B$5:$E$124,2, FALSE)</f>
        <v>1696</v>
      </c>
      <c r="F7" s="40" t="s">
        <v>114</v>
      </c>
      <c r="G7" s="38" t="s">
        <v>215</v>
      </c>
      <c r="H7" s="41">
        <f>VLOOKUP(G7,College!$B$5:$E$124,4, FALSE)</f>
        <v>0.50583333333333336</v>
      </c>
      <c r="J7" s="40" t="s">
        <v>114</v>
      </c>
      <c r="K7" s="38" t="s">
        <v>61</v>
      </c>
      <c r="L7" s="71">
        <v>0.55500000000000005</v>
      </c>
      <c r="M7" s="38">
        <v>166.5</v>
      </c>
      <c r="N7" s="75" t="s">
        <v>175</v>
      </c>
      <c r="O7" s="73">
        <v>300</v>
      </c>
      <c r="P7" s="44">
        <v>2019</v>
      </c>
      <c r="R7" s="40" t="s">
        <v>173</v>
      </c>
      <c r="S7" s="38" t="s">
        <v>195</v>
      </c>
      <c r="T7" s="71">
        <v>0.50370370370370365</v>
      </c>
      <c r="U7" s="38">
        <v>136</v>
      </c>
      <c r="V7" s="75" t="s">
        <v>175</v>
      </c>
      <c r="W7" s="73">
        <v>270</v>
      </c>
      <c r="X7" s="44">
        <v>2024</v>
      </c>
      <c r="Z7" s="40" t="s">
        <v>172</v>
      </c>
      <c r="AA7" s="38" t="s">
        <v>42</v>
      </c>
      <c r="AB7" s="65">
        <v>3</v>
      </c>
      <c r="AC7" s="44" t="s">
        <v>233</v>
      </c>
      <c r="AD7" s="65" t="s">
        <v>161</v>
      </c>
      <c r="AF7" s="131" t="s">
        <v>114</v>
      </c>
      <c r="AG7" s="95" t="s">
        <v>55</v>
      </c>
      <c r="AH7" s="128">
        <f>AI7/AK7</f>
        <v>0.4928151534944481</v>
      </c>
      <c r="AI7" s="94">
        <v>1509</v>
      </c>
      <c r="AJ7" s="129" t="s">
        <v>175</v>
      </c>
      <c r="AK7" s="94">
        <v>3062</v>
      </c>
      <c r="AL7" s="158" t="s">
        <v>276</v>
      </c>
      <c r="AN7" s="40" t="s">
        <v>114</v>
      </c>
      <c r="AO7" s="38" t="s">
        <v>59</v>
      </c>
      <c r="AP7" s="108">
        <v>2.833333333333333</v>
      </c>
      <c r="AQ7" s="44">
        <v>2018</v>
      </c>
      <c r="AS7" s="40" t="s">
        <v>114</v>
      </c>
      <c r="AT7" s="38" t="s">
        <v>42</v>
      </c>
      <c r="AU7" s="124">
        <f>VLOOKUP(AT7,'Weekly Wins'!$B$3:$C$1002,2, FALSE)</f>
        <v>8.4345238095238084</v>
      </c>
      <c r="AW7" s="139" t="s">
        <v>50</v>
      </c>
      <c r="AX7" s="136">
        <f t="shared" si="0"/>
        <v>0.703125</v>
      </c>
      <c r="AY7" s="76">
        <v>22.5</v>
      </c>
      <c r="AZ7" s="135" t="s">
        <v>175</v>
      </c>
      <c r="BA7" s="73">
        <v>32</v>
      </c>
      <c r="BB7" s="44">
        <v>2023</v>
      </c>
    </row>
    <row r="8" spans="1:55" x14ac:dyDescent="0.25">
      <c r="A8" s="103"/>
      <c r="B8" s="131" t="s">
        <v>114</v>
      </c>
      <c r="C8" s="38" t="s">
        <v>39</v>
      </c>
      <c r="D8" s="44">
        <f>VLOOKUP(C8,College!$B$5:$E$124,2, FALSE)</f>
        <v>1694.5</v>
      </c>
      <c r="F8" s="40" t="s">
        <v>115</v>
      </c>
      <c r="G8" s="38" t="s">
        <v>239</v>
      </c>
      <c r="H8" s="41">
        <f>VLOOKUP(G8,College!$B$5:$E$124,4, FALSE)</f>
        <v>0.50516129032258061</v>
      </c>
      <c r="J8" s="40" t="s">
        <v>115</v>
      </c>
      <c r="K8" s="38" t="s">
        <v>60</v>
      </c>
      <c r="L8" s="71">
        <v>0.55136986301369861</v>
      </c>
      <c r="M8" s="38">
        <v>161</v>
      </c>
      <c r="N8" s="75" t="s">
        <v>175</v>
      </c>
      <c r="O8" s="73">
        <v>292</v>
      </c>
      <c r="P8" s="44">
        <v>2020</v>
      </c>
      <c r="R8" s="40" t="s">
        <v>173</v>
      </c>
      <c r="S8" s="38" t="s">
        <v>253</v>
      </c>
      <c r="T8" s="71">
        <v>0.50370370370370365</v>
      </c>
      <c r="U8" s="38">
        <v>136</v>
      </c>
      <c r="V8" s="75" t="s">
        <v>175</v>
      </c>
      <c r="W8" s="73">
        <v>270</v>
      </c>
      <c r="X8" s="44">
        <v>2024</v>
      </c>
      <c r="Z8" s="40" t="s">
        <v>172</v>
      </c>
      <c r="AA8" s="38" t="s">
        <v>43</v>
      </c>
      <c r="AB8" s="65">
        <v>3</v>
      </c>
      <c r="AC8" s="44" t="s">
        <v>174</v>
      </c>
      <c r="AD8" s="65" t="s">
        <v>161</v>
      </c>
      <c r="AF8" s="48"/>
      <c r="AG8" s="46" t="s">
        <v>106</v>
      </c>
      <c r="AH8" s="161">
        <f>AI8/AK8</f>
        <v>0.49134552580013063</v>
      </c>
      <c r="AI8" s="162">
        <v>1504.5</v>
      </c>
      <c r="AJ8" s="163" t="s">
        <v>175</v>
      </c>
      <c r="AK8" s="162">
        <v>3062</v>
      </c>
      <c r="AL8" s="47" t="s">
        <v>276</v>
      </c>
      <c r="AN8" s="40" t="s">
        <v>279</v>
      </c>
      <c r="AO8" s="38" t="s">
        <v>60</v>
      </c>
      <c r="AP8" s="108">
        <v>2.5</v>
      </c>
      <c r="AQ8" s="44">
        <v>2020</v>
      </c>
      <c r="AS8" s="40" t="s">
        <v>115</v>
      </c>
      <c r="AT8" s="38" t="s">
        <v>55</v>
      </c>
      <c r="AU8" s="124">
        <f>VLOOKUP(AT8,'Weekly Wins'!$B$3:$C$1002,2, FALSE)</f>
        <v>8.1999999999999993</v>
      </c>
      <c r="AW8" s="139" t="s">
        <v>240</v>
      </c>
      <c r="AX8" s="175">
        <f t="shared" si="0"/>
        <v>0.68571428571428572</v>
      </c>
      <c r="AY8" s="38">
        <v>24</v>
      </c>
      <c r="AZ8" s="135" t="s">
        <v>175</v>
      </c>
      <c r="BA8" s="73">
        <v>35</v>
      </c>
      <c r="BB8" s="44">
        <v>2025</v>
      </c>
    </row>
    <row r="9" spans="1:55" x14ac:dyDescent="0.25">
      <c r="A9" s="103"/>
      <c r="B9" s="40" t="s">
        <v>115</v>
      </c>
      <c r="C9" s="38" t="s">
        <v>60</v>
      </c>
      <c r="D9" s="44">
        <f>VLOOKUP(C9,College!$B$5:$E$124,2, FALSE)</f>
        <v>1688.5</v>
      </c>
      <c r="F9" s="40" t="s">
        <v>116</v>
      </c>
      <c r="G9" s="38" t="s">
        <v>54</v>
      </c>
      <c r="H9" s="41">
        <f>VLOOKUP(G9,College!$B$5:$E$124,4, FALSE)</f>
        <v>0.50277227722772277</v>
      </c>
      <c r="J9" s="40" t="s">
        <v>116</v>
      </c>
      <c r="K9" s="38" t="s">
        <v>36</v>
      </c>
      <c r="L9" s="71">
        <v>0.55034722222222221</v>
      </c>
      <c r="M9" s="38">
        <v>158.5</v>
      </c>
      <c r="N9" s="75" t="s">
        <v>175</v>
      </c>
      <c r="O9" s="73">
        <v>288</v>
      </c>
      <c r="P9" s="44">
        <v>2021</v>
      </c>
      <c r="R9" s="40" t="s">
        <v>116</v>
      </c>
      <c r="S9" s="38" t="s">
        <v>42</v>
      </c>
      <c r="T9" s="71">
        <v>0.50198412698412698</v>
      </c>
      <c r="U9" s="38">
        <v>126.5</v>
      </c>
      <c r="V9" s="75" t="s">
        <v>175</v>
      </c>
      <c r="W9" s="73">
        <v>252</v>
      </c>
      <c r="X9" s="44">
        <v>2017</v>
      </c>
      <c r="Z9" s="40" t="s">
        <v>172</v>
      </c>
      <c r="AA9" s="38" t="s">
        <v>46</v>
      </c>
      <c r="AB9" s="65">
        <v>3</v>
      </c>
      <c r="AC9" s="44" t="s">
        <v>167</v>
      </c>
      <c r="AD9" s="65" t="s">
        <v>161</v>
      </c>
      <c r="AF9" s="40" t="s">
        <v>115</v>
      </c>
      <c r="AG9" s="38" t="s">
        <v>39</v>
      </c>
      <c r="AH9" s="71">
        <f>AI9/AK9</f>
        <v>0.49118223383409537</v>
      </c>
      <c r="AI9" s="76">
        <v>1504</v>
      </c>
      <c r="AJ9" s="75" t="s">
        <v>175</v>
      </c>
      <c r="AK9" s="76">
        <v>3062</v>
      </c>
      <c r="AL9" s="89" t="s">
        <v>276</v>
      </c>
      <c r="AN9" s="40" t="s">
        <v>279</v>
      </c>
      <c r="AO9" s="38" t="s">
        <v>40</v>
      </c>
      <c r="AP9" s="108">
        <v>2.5</v>
      </c>
      <c r="AQ9" s="44">
        <v>2018</v>
      </c>
      <c r="AS9" s="40" t="s">
        <v>116</v>
      </c>
      <c r="AT9" s="38" t="s">
        <v>53</v>
      </c>
      <c r="AU9" s="124">
        <f>VLOOKUP(AT9,'Weekly Wins'!$B$3:$C$1002,2, FALSE)</f>
        <v>7.75</v>
      </c>
      <c r="AW9" s="139" t="s">
        <v>54</v>
      </c>
      <c r="AX9" s="136">
        <f t="shared" si="0"/>
        <v>0.671875</v>
      </c>
      <c r="AY9" s="76">
        <v>21.5</v>
      </c>
      <c r="AZ9" s="135" t="s">
        <v>175</v>
      </c>
      <c r="BA9" s="73">
        <v>32</v>
      </c>
      <c r="BB9" s="44">
        <v>2023</v>
      </c>
    </row>
    <row r="10" spans="1:55" x14ac:dyDescent="0.25">
      <c r="A10" s="103"/>
      <c r="B10" s="40" t="s">
        <v>116</v>
      </c>
      <c r="C10" s="38" t="s">
        <v>40</v>
      </c>
      <c r="D10" s="44">
        <f>VLOOKUP(C10,College!$B$5:$E$124,2, FALSE)</f>
        <v>1687.5</v>
      </c>
      <c r="F10" s="40" t="s">
        <v>117</v>
      </c>
      <c r="G10" s="38" t="s">
        <v>224</v>
      </c>
      <c r="H10" s="41">
        <f>VLOOKUP(G10,College!$B$5:$E$124,4, FALSE)</f>
        <v>0.50207253886010361</v>
      </c>
      <c r="J10" s="40" t="s">
        <v>117</v>
      </c>
      <c r="K10" s="38" t="s">
        <v>59</v>
      </c>
      <c r="L10" s="71">
        <v>0.55000000000000004</v>
      </c>
      <c r="M10" s="38">
        <v>159.5</v>
      </c>
      <c r="N10" s="75" t="s">
        <v>175</v>
      </c>
      <c r="O10" s="73">
        <v>290</v>
      </c>
      <c r="P10" s="44">
        <v>2023</v>
      </c>
      <c r="R10" s="40" t="s">
        <v>117</v>
      </c>
      <c r="S10" s="38" t="s">
        <v>61</v>
      </c>
      <c r="T10" s="71">
        <v>0.48809523809523808</v>
      </c>
      <c r="U10" s="38">
        <v>102.5</v>
      </c>
      <c r="V10" s="75" t="s">
        <v>175</v>
      </c>
      <c r="W10" s="73">
        <v>210</v>
      </c>
      <c r="X10" s="44">
        <v>2017</v>
      </c>
      <c r="Z10" s="40" t="s">
        <v>172</v>
      </c>
      <c r="AA10" s="38" t="s">
        <v>56</v>
      </c>
      <c r="AB10" s="65">
        <v>3</v>
      </c>
      <c r="AC10" s="44" t="s">
        <v>168</v>
      </c>
      <c r="AD10" s="65" t="s">
        <v>161</v>
      </c>
      <c r="AF10" s="131" t="s">
        <v>116</v>
      </c>
      <c r="AG10" s="95" t="s">
        <v>51</v>
      </c>
      <c r="AH10" s="128">
        <f>AI10/AK10</f>
        <v>0.49004893964110929</v>
      </c>
      <c r="AI10" s="94">
        <v>1502</v>
      </c>
      <c r="AJ10" s="129" t="s">
        <v>175</v>
      </c>
      <c r="AK10" s="94">
        <v>3065</v>
      </c>
      <c r="AL10" s="158" t="s">
        <v>386</v>
      </c>
      <c r="AN10" s="40" t="s">
        <v>279</v>
      </c>
      <c r="AO10" s="38" t="s">
        <v>39</v>
      </c>
      <c r="AP10" s="108">
        <v>2.5</v>
      </c>
      <c r="AQ10" s="44">
        <v>2018</v>
      </c>
      <c r="AS10" s="40" t="s">
        <v>117</v>
      </c>
      <c r="AT10" s="38" t="s">
        <v>39</v>
      </c>
      <c r="AU10" s="124">
        <f>VLOOKUP(AT10,'Weekly Wins'!$B$3:$C$1002,2, FALSE)</f>
        <v>7.0428571428571436</v>
      </c>
      <c r="AW10" s="139" t="s">
        <v>51</v>
      </c>
      <c r="AX10" s="136">
        <f t="shared" si="0"/>
        <v>0.66666666666666663</v>
      </c>
      <c r="AY10" s="76">
        <v>20</v>
      </c>
      <c r="AZ10" s="135" t="s">
        <v>175</v>
      </c>
      <c r="BA10" s="73">
        <v>30</v>
      </c>
      <c r="BB10" s="44">
        <v>2016</v>
      </c>
    </row>
    <row r="11" spans="1:55" x14ac:dyDescent="0.25">
      <c r="A11" s="103"/>
      <c r="B11" s="40" t="s">
        <v>117</v>
      </c>
      <c r="C11" s="38" t="s">
        <v>56</v>
      </c>
      <c r="D11" s="44">
        <f>VLOOKUP(C11,College!$B$5:$E$124,2, FALSE)</f>
        <v>1668.5</v>
      </c>
      <c r="F11" s="40" t="s">
        <v>118</v>
      </c>
      <c r="G11" s="38" t="s">
        <v>57</v>
      </c>
      <c r="H11" s="41">
        <f>VLOOKUP(G11,College!$B$5:$E$124,4, FALSE)</f>
        <v>0.50150037509377343</v>
      </c>
      <c r="J11" s="40" t="s">
        <v>118</v>
      </c>
      <c r="K11" s="38" t="s">
        <v>62</v>
      </c>
      <c r="L11" s="71">
        <v>0.54452054794520544</v>
      </c>
      <c r="M11" s="38">
        <v>159</v>
      </c>
      <c r="N11" s="75" t="s">
        <v>175</v>
      </c>
      <c r="O11" s="73">
        <v>292</v>
      </c>
      <c r="P11" s="44">
        <v>2020</v>
      </c>
      <c r="R11" s="40" t="s">
        <v>118</v>
      </c>
      <c r="S11" s="38" t="s">
        <v>198</v>
      </c>
      <c r="T11" s="71">
        <v>0.47985347985347987</v>
      </c>
      <c r="U11" s="38">
        <v>131</v>
      </c>
      <c r="V11" s="75" t="s">
        <v>175</v>
      </c>
      <c r="W11" s="73">
        <v>273</v>
      </c>
      <c r="X11" s="44">
        <v>2022</v>
      </c>
      <c r="Z11" s="139" t="s">
        <v>234</v>
      </c>
      <c r="AA11" s="38" t="s">
        <v>50</v>
      </c>
      <c r="AB11" s="65">
        <v>2</v>
      </c>
      <c r="AC11" s="44" t="s">
        <v>265</v>
      </c>
      <c r="AD11" s="65" t="s">
        <v>161</v>
      </c>
      <c r="AF11" s="40" t="s">
        <v>117</v>
      </c>
      <c r="AG11" s="38" t="s">
        <v>60</v>
      </c>
      <c r="AH11" s="71">
        <f>AI11/AK11</f>
        <v>0.48896103896103899</v>
      </c>
      <c r="AI11" s="76">
        <v>1506</v>
      </c>
      <c r="AJ11" s="75" t="s">
        <v>175</v>
      </c>
      <c r="AK11" s="76">
        <v>3080</v>
      </c>
      <c r="AL11" s="89" t="s">
        <v>277</v>
      </c>
      <c r="AN11" s="40" t="s">
        <v>279</v>
      </c>
      <c r="AO11" s="38" t="s">
        <v>46</v>
      </c>
      <c r="AP11" s="108">
        <v>2.5</v>
      </c>
      <c r="AQ11" s="44">
        <v>2017</v>
      </c>
      <c r="AS11" s="40" t="s">
        <v>118</v>
      </c>
      <c r="AT11" s="38" t="s">
        <v>46</v>
      </c>
      <c r="AU11" s="124">
        <f>VLOOKUP(AT11,'Weekly Wins'!$B$3:$C$1002,2, FALSE)</f>
        <v>6.6166666666666663</v>
      </c>
      <c r="AW11" s="139" t="s">
        <v>78</v>
      </c>
      <c r="AX11" s="136">
        <f t="shared" si="0"/>
        <v>0.66176470588235292</v>
      </c>
      <c r="AY11" s="76">
        <v>22.5</v>
      </c>
      <c r="AZ11" s="135" t="s">
        <v>175</v>
      </c>
      <c r="BA11" s="73">
        <v>34</v>
      </c>
      <c r="BB11" s="44">
        <v>2019</v>
      </c>
    </row>
    <row r="12" spans="1:55" x14ac:dyDescent="0.25">
      <c r="A12" s="103"/>
      <c r="B12" s="40" t="s">
        <v>118</v>
      </c>
      <c r="C12" s="38" t="s">
        <v>45</v>
      </c>
      <c r="D12" s="194">
        <f>VLOOKUP(C12,College!$B$5:$E$124,2, FALSE)</f>
        <v>1625.5</v>
      </c>
      <c r="F12" s="40" t="s">
        <v>119</v>
      </c>
      <c r="G12" s="38" t="s">
        <v>43</v>
      </c>
      <c r="H12" s="41">
        <f>VLOOKUP(G12,College!$B$5:$E$124,4, FALSE)</f>
        <v>0.50106571936056843</v>
      </c>
      <c r="J12" s="40" t="s">
        <v>119</v>
      </c>
      <c r="K12" s="38" t="s">
        <v>45</v>
      </c>
      <c r="L12" s="71">
        <v>0.54109589041095896</v>
      </c>
      <c r="M12" s="38">
        <v>158</v>
      </c>
      <c r="N12" s="75" t="s">
        <v>175</v>
      </c>
      <c r="O12" s="73">
        <v>292</v>
      </c>
      <c r="P12" s="44">
        <v>2020</v>
      </c>
      <c r="R12" s="40" t="s">
        <v>119</v>
      </c>
      <c r="S12" s="38" t="s">
        <v>47</v>
      </c>
      <c r="T12" s="71">
        <v>0.47122302158273383</v>
      </c>
      <c r="U12" s="38">
        <v>65.5</v>
      </c>
      <c r="V12" s="75" t="s">
        <v>175</v>
      </c>
      <c r="W12" s="73">
        <v>139</v>
      </c>
      <c r="X12" s="44">
        <v>2025</v>
      </c>
      <c r="Z12" s="139" t="s">
        <v>234</v>
      </c>
      <c r="AA12" s="38" t="s">
        <v>44</v>
      </c>
      <c r="AB12" s="65">
        <v>2</v>
      </c>
      <c r="AC12" s="44" t="s">
        <v>265</v>
      </c>
      <c r="AD12" s="66" t="s">
        <v>162</v>
      </c>
      <c r="AF12" s="40" t="s">
        <v>118</v>
      </c>
      <c r="AG12" s="38" t="s">
        <v>40</v>
      </c>
      <c r="AH12" s="71">
        <f>AI12/AK12</f>
        <v>0.48831168831168831</v>
      </c>
      <c r="AI12" s="76">
        <v>1504</v>
      </c>
      <c r="AJ12" s="75" t="s">
        <v>175</v>
      </c>
      <c r="AK12" s="76">
        <v>3080</v>
      </c>
      <c r="AL12" s="89" t="s">
        <v>277</v>
      </c>
      <c r="AN12" s="40" t="s">
        <v>281</v>
      </c>
      <c r="AO12" s="38" t="s">
        <v>251</v>
      </c>
      <c r="AP12" s="132">
        <v>2.3333333333333335</v>
      </c>
      <c r="AQ12" s="44">
        <v>2023</v>
      </c>
      <c r="AS12" s="40" t="s">
        <v>119</v>
      </c>
      <c r="AT12" s="38" t="s">
        <v>59</v>
      </c>
      <c r="AU12" s="124">
        <f>VLOOKUP(AT12,'Weekly Wins'!$B$3:$C$1002,2, FALSE)</f>
        <v>6.5666666666666664</v>
      </c>
      <c r="AW12" s="139" t="s">
        <v>212</v>
      </c>
      <c r="AX12" s="136">
        <f t="shared" si="0"/>
        <v>0.65625</v>
      </c>
      <c r="AY12" s="76">
        <v>21</v>
      </c>
      <c r="AZ12" s="135" t="s">
        <v>175</v>
      </c>
      <c r="BA12" s="73">
        <v>32</v>
      </c>
      <c r="BB12" s="44">
        <v>2023</v>
      </c>
    </row>
    <row r="13" spans="1:55" ht="15.75" thickBot="1" x14ac:dyDescent="0.3">
      <c r="A13" s="103"/>
      <c r="B13" s="40" t="s">
        <v>119</v>
      </c>
      <c r="C13" s="38" t="s">
        <v>51</v>
      </c>
      <c r="D13" s="44">
        <f>VLOOKUP(C13,College!$B$5:$E$124,2, FALSE)</f>
        <v>1525</v>
      </c>
      <c r="F13" s="40" t="s">
        <v>120</v>
      </c>
      <c r="G13" s="38" t="s">
        <v>42</v>
      </c>
      <c r="H13" s="41">
        <f>VLOOKUP(G13,College!$B$5:$E$124,4, FALSE)</f>
        <v>0.50090025207057975</v>
      </c>
      <c r="J13" s="40" t="s">
        <v>120</v>
      </c>
      <c r="K13" s="38" t="s">
        <v>239</v>
      </c>
      <c r="L13" s="71">
        <v>0.54035087719298247</v>
      </c>
      <c r="M13" s="38">
        <v>154</v>
      </c>
      <c r="N13" s="75" t="s">
        <v>175</v>
      </c>
      <c r="O13" s="73">
        <v>285</v>
      </c>
      <c r="P13" s="44">
        <v>2025</v>
      </c>
      <c r="R13" s="42" t="s">
        <v>120</v>
      </c>
      <c r="S13" s="43" t="s">
        <v>238</v>
      </c>
      <c r="T13" s="198">
        <v>0.42803030303030304</v>
      </c>
      <c r="U13" s="43">
        <v>113</v>
      </c>
      <c r="V13" s="199" t="s">
        <v>175</v>
      </c>
      <c r="W13" s="74">
        <v>264</v>
      </c>
      <c r="X13" s="45">
        <v>2024</v>
      </c>
      <c r="Z13" s="139" t="s">
        <v>234</v>
      </c>
      <c r="AA13" s="38" t="s">
        <v>195</v>
      </c>
      <c r="AB13" s="65">
        <v>2</v>
      </c>
      <c r="AC13" s="44" t="s">
        <v>265</v>
      </c>
      <c r="AD13" s="65" t="s">
        <v>161</v>
      </c>
      <c r="AF13" s="40" t="s">
        <v>119</v>
      </c>
      <c r="AG13" s="38" t="s">
        <v>56</v>
      </c>
      <c r="AH13" s="71">
        <f>AI13/AK13</f>
        <v>0.48547449967721112</v>
      </c>
      <c r="AI13" s="76">
        <v>1504</v>
      </c>
      <c r="AJ13" s="75" t="s">
        <v>175</v>
      </c>
      <c r="AK13" s="76">
        <v>3098</v>
      </c>
      <c r="AL13" s="89" t="s">
        <v>278</v>
      </c>
      <c r="AN13" s="40" t="s">
        <v>281</v>
      </c>
      <c r="AO13" s="38" t="s">
        <v>40</v>
      </c>
      <c r="AP13" s="108">
        <v>2.3333333333333335</v>
      </c>
      <c r="AQ13" s="44">
        <v>2020</v>
      </c>
      <c r="AS13" s="40" t="s">
        <v>120</v>
      </c>
      <c r="AT13" s="38" t="s">
        <v>56</v>
      </c>
      <c r="AU13" s="124">
        <f>VLOOKUP(AT13,'Weekly Wins'!$B$3:$C$1002,2, FALSE)</f>
        <v>6.1666666666666661</v>
      </c>
      <c r="AW13" s="139" t="s">
        <v>40</v>
      </c>
      <c r="AX13" s="136">
        <f t="shared" si="0"/>
        <v>0.65625</v>
      </c>
      <c r="AY13" s="76">
        <v>21</v>
      </c>
      <c r="AZ13" s="135" t="s">
        <v>175</v>
      </c>
      <c r="BA13" s="73">
        <v>32</v>
      </c>
      <c r="BB13" s="44">
        <v>2021</v>
      </c>
    </row>
    <row r="14" spans="1:55" ht="15.75" thickBot="1" x14ac:dyDescent="0.3">
      <c r="A14" s="103"/>
      <c r="B14" s="40" t="s">
        <v>120</v>
      </c>
      <c r="C14" s="38" t="s">
        <v>52</v>
      </c>
      <c r="D14" s="238">
        <f>VLOOKUP(C14,College!$B$5:$E$124,2, FALSE)</f>
        <v>1505</v>
      </c>
      <c r="F14" s="40" t="s">
        <v>121</v>
      </c>
      <c r="G14" s="38" t="s">
        <v>69</v>
      </c>
      <c r="H14" s="41">
        <f>VLOOKUP(G14,College!$B$5:$E$124,4, FALSE)</f>
        <v>0.49857142857142855</v>
      </c>
      <c r="J14" s="40" t="s">
        <v>121</v>
      </c>
      <c r="K14" s="38" t="s">
        <v>39</v>
      </c>
      <c r="L14" s="71">
        <v>0.53993055555555558</v>
      </c>
      <c r="M14" s="38">
        <v>155.5</v>
      </c>
      <c r="N14" s="75" t="s">
        <v>175</v>
      </c>
      <c r="O14" s="73">
        <v>288</v>
      </c>
      <c r="P14" s="44">
        <v>2021</v>
      </c>
      <c r="R14" s="94"/>
      <c r="S14" s="95" t="s">
        <v>38</v>
      </c>
      <c r="T14" s="128">
        <v>0.41111111111111109</v>
      </c>
      <c r="U14" s="95">
        <v>37</v>
      </c>
      <c r="V14" s="129"/>
      <c r="W14" s="130">
        <v>90</v>
      </c>
      <c r="X14" s="96">
        <v>2017</v>
      </c>
      <c r="Z14" s="139" t="s">
        <v>234</v>
      </c>
      <c r="AA14" s="38" t="s">
        <v>48</v>
      </c>
      <c r="AB14" s="65">
        <v>2</v>
      </c>
      <c r="AC14" s="44" t="s">
        <v>265</v>
      </c>
      <c r="AD14" s="65" t="s">
        <v>161</v>
      </c>
      <c r="AF14" s="42" t="s">
        <v>120</v>
      </c>
      <c r="AG14" s="164" t="s">
        <v>52</v>
      </c>
      <c r="AH14" s="60">
        <f>AI14/AK14</f>
        <v>0.48470209339774556</v>
      </c>
      <c r="AI14" s="239">
        <v>1505</v>
      </c>
      <c r="AJ14" s="165" t="s">
        <v>175</v>
      </c>
      <c r="AK14" s="239">
        <v>3105</v>
      </c>
      <c r="AL14" s="166" t="s">
        <v>392</v>
      </c>
      <c r="AN14" s="40" t="s">
        <v>121</v>
      </c>
      <c r="AO14" s="38" t="s">
        <v>55</v>
      </c>
      <c r="AP14" s="108">
        <v>2.25</v>
      </c>
      <c r="AQ14" s="44">
        <v>2016</v>
      </c>
      <c r="AS14" s="40" t="s">
        <v>121</v>
      </c>
      <c r="AT14" s="38" t="s">
        <v>62</v>
      </c>
      <c r="AU14" s="124">
        <f>VLOOKUP(AT14,'Weekly Wins'!$B$3:$C$1002,2, FALSE)</f>
        <v>5.833333333333333</v>
      </c>
      <c r="AW14" s="139" t="s">
        <v>51</v>
      </c>
      <c r="AX14" s="136">
        <f t="shared" si="0"/>
        <v>0.6470588235294118</v>
      </c>
      <c r="AY14" s="76">
        <v>22</v>
      </c>
      <c r="AZ14" s="135" t="s">
        <v>175</v>
      </c>
      <c r="BA14" s="73">
        <v>34</v>
      </c>
      <c r="BB14" s="44">
        <v>2020</v>
      </c>
    </row>
    <row r="15" spans="1:55" x14ac:dyDescent="0.25">
      <c r="A15" s="103"/>
      <c r="B15" s="40" t="s">
        <v>121</v>
      </c>
      <c r="C15" s="38" t="s">
        <v>43</v>
      </c>
      <c r="D15" s="225">
        <f>VLOOKUP(C15,College!$B$5:$E$124,2, FALSE)</f>
        <v>1410.5</v>
      </c>
      <c r="F15" s="40" t="s">
        <v>122</v>
      </c>
      <c r="G15" s="38" t="s">
        <v>48</v>
      </c>
      <c r="H15" s="41">
        <f>VLOOKUP(G15,College!$B$5:$E$124,4, FALSE)</f>
        <v>0.49667149059334298</v>
      </c>
      <c r="J15" s="40" t="s">
        <v>288</v>
      </c>
      <c r="K15" s="38" t="s">
        <v>51</v>
      </c>
      <c r="L15" s="71">
        <v>0.53965517241379313</v>
      </c>
      <c r="M15" s="38">
        <v>156.5</v>
      </c>
      <c r="N15" s="75" t="s">
        <v>175</v>
      </c>
      <c r="O15" s="73">
        <v>290</v>
      </c>
      <c r="P15" s="44">
        <v>2023</v>
      </c>
      <c r="R15" s="76"/>
      <c r="S15" s="38"/>
      <c r="T15" s="71"/>
      <c r="U15" s="38"/>
      <c r="V15" s="75"/>
      <c r="W15" s="73"/>
      <c r="X15" s="65"/>
      <c r="Z15" s="139" t="s">
        <v>234</v>
      </c>
      <c r="AA15" s="38" t="s">
        <v>45</v>
      </c>
      <c r="AB15" s="65">
        <v>2</v>
      </c>
      <c r="AC15" s="44" t="s">
        <v>265</v>
      </c>
      <c r="AD15" s="65" t="s">
        <v>161</v>
      </c>
      <c r="AF15" s="94"/>
      <c r="AG15" s="95" t="s">
        <v>43</v>
      </c>
      <c r="AH15" s="128">
        <f t="shared" ref="AH15" si="1">AI15/AK15</f>
        <v>0.50106571936056843</v>
      </c>
      <c r="AI15" s="157">
        <f>VLOOKUP(AG15,College!$B$2:$H$1007,2, FALSE)</f>
        <v>1410.5</v>
      </c>
      <c r="AJ15" s="129" t="s">
        <v>175</v>
      </c>
      <c r="AK15" s="157">
        <f>VLOOKUP(AG15,College!$B$2:$H$1007,3, FALSE)</f>
        <v>2815</v>
      </c>
      <c r="AL15" s="158" t="s">
        <v>341</v>
      </c>
      <c r="AN15" s="40" t="s">
        <v>122</v>
      </c>
      <c r="AO15" s="38" t="s">
        <v>45</v>
      </c>
      <c r="AP15" s="108">
        <v>2.125</v>
      </c>
      <c r="AQ15" s="44">
        <v>2019</v>
      </c>
      <c r="AS15" s="40" t="s">
        <v>122</v>
      </c>
      <c r="AT15" s="38" t="s">
        <v>47</v>
      </c>
      <c r="AU15" s="124">
        <f>VLOOKUP(AT15,'Weekly Wins'!$B$3:$C$1002,2, FALSE)</f>
        <v>5.7678571428571423</v>
      </c>
      <c r="AW15" s="139" t="s">
        <v>43</v>
      </c>
      <c r="AX15" s="136">
        <f t="shared" si="0"/>
        <v>0.6470588235294118</v>
      </c>
      <c r="AY15" s="76">
        <v>22</v>
      </c>
      <c r="AZ15" s="135" t="s">
        <v>175</v>
      </c>
      <c r="BA15" s="73">
        <v>34</v>
      </c>
      <c r="BB15" s="44">
        <v>2019</v>
      </c>
    </row>
    <row r="16" spans="1:55" ht="15.75" thickBot="1" x14ac:dyDescent="0.3">
      <c r="A16" s="103"/>
      <c r="B16" s="40" t="s">
        <v>122</v>
      </c>
      <c r="C16" s="38" t="s">
        <v>42</v>
      </c>
      <c r="D16" s="44">
        <f>VLOOKUP(C16,College!$B$5:$E$124,2, FALSE)</f>
        <v>1391</v>
      </c>
      <c r="F16" s="40" t="s">
        <v>123</v>
      </c>
      <c r="G16" s="38" t="s">
        <v>45</v>
      </c>
      <c r="H16" s="41">
        <f>VLOOKUP(G16,College!$B$5:$E$124,4, FALSE)</f>
        <v>0.49633587786259542</v>
      </c>
      <c r="J16" s="40" t="s">
        <v>288</v>
      </c>
      <c r="K16" s="38" t="s">
        <v>59</v>
      </c>
      <c r="L16" s="71">
        <v>0.53965517241379313</v>
      </c>
      <c r="M16" s="38">
        <v>156.5</v>
      </c>
      <c r="N16" s="75" t="s">
        <v>175</v>
      </c>
      <c r="O16" s="73">
        <v>290</v>
      </c>
      <c r="P16" s="44">
        <v>2022</v>
      </c>
      <c r="R16" s="76"/>
      <c r="S16" s="38"/>
      <c r="T16" s="71"/>
      <c r="U16" s="38"/>
      <c r="V16" s="75"/>
      <c r="W16" s="73"/>
      <c r="X16" s="65"/>
      <c r="Z16" s="139" t="s">
        <v>234</v>
      </c>
      <c r="AA16" s="38" t="s">
        <v>224</v>
      </c>
      <c r="AB16" s="65">
        <v>2</v>
      </c>
      <c r="AC16" s="44" t="s">
        <v>265</v>
      </c>
      <c r="AD16" s="65" t="s">
        <v>161</v>
      </c>
      <c r="AF16" s="26"/>
      <c r="AG16" s="35"/>
      <c r="AH16" s="3"/>
      <c r="AI16" s="26"/>
      <c r="AJ16" s="3"/>
      <c r="AK16" s="145"/>
      <c r="AL16" s="3"/>
      <c r="AN16" s="40" t="s">
        <v>282</v>
      </c>
      <c r="AO16" s="38" t="s">
        <v>45</v>
      </c>
      <c r="AP16" s="108">
        <v>2</v>
      </c>
      <c r="AQ16" s="44">
        <v>2024</v>
      </c>
      <c r="AS16" s="40" t="s">
        <v>123</v>
      </c>
      <c r="AT16" s="38" t="s">
        <v>251</v>
      </c>
      <c r="AU16" s="124">
        <f>VLOOKUP(AT16,'Weekly Wins'!$B$3:$C$1002,2, FALSE)</f>
        <v>5.666666666666667</v>
      </c>
      <c r="AW16" s="139" t="s">
        <v>57</v>
      </c>
      <c r="AX16" s="136">
        <f t="shared" si="0"/>
        <v>0.640625</v>
      </c>
      <c r="AY16" s="76">
        <v>20.5</v>
      </c>
      <c r="AZ16" s="135" t="s">
        <v>175</v>
      </c>
      <c r="BA16" s="73">
        <v>32</v>
      </c>
      <c r="BB16" s="44">
        <v>2021</v>
      </c>
    </row>
    <row r="17" spans="1:54" x14ac:dyDescent="0.25">
      <c r="A17" s="103"/>
      <c r="B17" s="40" t="s">
        <v>123</v>
      </c>
      <c r="C17" s="38" t="s">
        <v>46</v>
      </c>
      <c r="D17" s="44">
        <f>VLOOKUP(C17,College!$B$5:$E$124,2, FALSE)</f>
        <v>1383</v>
      </c>
      <c r="F17" s="40" t="s">
        <v>124</v>
      </c>
      <c r="G17" s="38" t="s">
        <v>50</v>
      </c>
      <c r="H17" s="41">
        <f>VLOOKUP(G17,College!$B$5:$E$124,4, FALSE)</f>
        <v>0.49623733719247465</v>
      </c>
      <c r="J17" s="40" t="s">
        <v>124</v>
      </c>
      <c r="K17" s="38" t="s">
        <v>48</v>
      </c>
      <c r="L17" s="71">
        <v>0.53833333333333333</v>
      </c>
      <c r="M17" s="38">
        <v>161.5</v>
      </c>
      <c r="N17" s="75" t="s">
        <v>175</v>
      </c>
      <c r="O17" s="73">
        <v>300</v>
      </c>
      <c r="P17" s="44">
        <v>2019</v>
      </c>
      <c r="R17" s="76"/>
      <c r="S17" s="38"/>
      <c r="T17" s="71"/>
      <c r="U17" s="38"/>
      <c r="V17" s="75"/>
      <c r="W17" s="73"/>
      <c r="X17" s="65"/>
      <c r="Z17" s="139" t="s">
        <v>234</v>
      </c>
      <c r="AA17" s="38" t="s">
        <v>46</v>
      </c>
      <c r="AB17" s="65">
        <v>2</v>
      </c>
      <c r="AC17" s="44" t="s">
        <v>265</v>
      </c>
      <c r="AD17" s="65" t="s">
        <v>161</v>
      </c>
      <c r="AF17" s="88"/>
      <c r="AG17" s="67" t="s">
        <v>178</v>
      </c>
      <c r="AH17" s="72" t="s">
        <v>3</v>
      </c>
      <c r="AI17" s="143"/>
      <c r="AJ17" s="67"/>
      <c r="AK17" s="146"/>
      <c r="AL17" s="68"/>
      <c r="AN17" s="40" t="s">
        <v>282</v>
      </c>
      <c r="AO17" s="38" t="s">
        <v>40</v>
      </c>
      <c r="AP17" s="132">
        <v>2</v>
      </c>
      <c r="AQ17" s="44">
        <v>2023</v>
      </c>
      <c r="AS17" s="40" t="s">
        <v>124</v>
      </c>
      <c r="AT17" s="38" t="s">
        <v>44</v>
      </c>
      <c r="AU17" s="124">
        <f>VLOOKUP(AT17,'Weekly Wins'!$B$3:$C$1002,2, FALSE)</f>
        <v>4.95</v>
      </c>
      <c r="AW17" s="139" t="s">
        <v>48</v>
      </c>
      <c r="AX17" s="136">
        <f t="shared" si="0"/>
        <v>0.63235294117647056</v>
      </c>
      <c r="AY17" s="76">
        <v>21.5</v>
      </c>
      <c r="AZ17" s="135" t="s">
        <v>175</v>
      </c>
      <c r="BA17" s="73">
        <v>34</v>
      </c>
      <c r="BB17" s="44">
        <v>2019</v>
      </c>
    </row>
    <row r="18" spans="1:54" x14ac:dyDescent="0.25">
      <c r="A18" s="103"/>
      <c r="B18" s="40" t="s">
        <v>124</v>
      </c>
      <c r="C18" s="38" t="s">
        <v>61</v>
      </c>
      <c r="D18" s="44">
        <f>VLOOKUP(C18,College!$B$5:$E$124,2, FALSE)</f>
        <v>1314</v>
      </c>
      <c r="F18" s="40" t="s">
        <v>125</v>
      </c>
      <c r="G18" s="38" t="s">
        <v>55</v>
      </c>
      <c r="H18" s="41">
        <f>VLOOKUP(G18,College!$B$5:$E$124,4, FALSE)</f>
        <v>0.49536903039073804</v>
      </c>
      <c r="J18" s="40" t="s">
        <v>125</v>
      </c>
      <c r="K18" s="38" t="s">
        <v>60</v>
      </c>
      <c r="L18" s="71">
        <v>0.5368421052631579</v>
      </c>
      <c r="M18" s="38">
        <v>153</v>
      </c>
      <c r="N18" s="75" t="s">
        <v>175</v>
      </c>
      <c r="O18" s="73">
        <v>285</v>
      </c>
      <c r="P18" s="44">
        <v>2025</v>
      </c>
      <c r="R18" s="76"/>
      <c r="S18" s="38"/>
      <c r="T18" s="71"/>
      <c r="U18" s="38"/>
      <c r="V18" s="75"/>
      <c r="W18" s="73"/>
      <c r="X18" s="65"/>
      <c r="Z18" s="139" t="s">
        <v>234</v>
      </c>
      <c r="AA18" s="38" t="s">
        <v>214</v>
      </c>
      <c r="AB18" s="65">
        <v>2</v>
      </c>
      <c r="AC18" s="44" t="s">
        <v>265</v>
      </c>
      <c r="AD18" s="65" t="s">
        <v>161</v>
      </c>
      <c r="AF18" s="40" t="s">
        <v>111</v>
      </c>
      <c r="AG18" s="38" t="s">
        <v>42</v>
      </c>
      <c r="AH18" s="71">
        <v>0.51280737704918034</v>
      </c>
      <c r="AI18" s="76">
        <v>1001</v>
      </c>
      <c r="AJ18" s="75" t="s">
        <v>175</v>
      </c>
      <c r="AK18" s="73">
        <v>1952</v>
      </c>
      <c r="AL18" s="89" t="s">
        <v>228</v>
      </c>
      <c r="AN18" s="40" t="s">
        <v>282</v>
      </c>
      <c r="AO18" s="38" t="s">
        <v>47</v>
      </c>
      <c r="AP18" s="108">
        <v>2</v>
      </c>
      <c r="AQ18" s="44">
        <v>2021</v>
      </c>
      <c r="AS18" s="40" t="s">
        <v>125</v>
      </c>
      <c r="AT18" s="38" t="s">
        <v>43</v>
      </c>
      <c r="AU18" s="124">
        <f>VLOOKUP(AT18,'Weekly Wins'!$B$3:$C$1002,2, FALSE)</f>
        <v>4.1761904761904765</v>
      </c>
      <c r="AW18" s="139" t="s">
        <v>195</v>
      </c>
      <c r="AX18" s="136">
        <f t="shared" si="0"/>
        <v>0.625</v>
      </c>
      <c r="AY18" s="76">
        <v>20</v>
      </c>
      <c r="AZ18" s="135" t="s">
        <v>175</v>
      </c>
      <c r="BA18" s="73">
        <v>32</v>
      </c>
      <c r="BB18" s="44">
        <v>2023</v>
      </c>
    </row>
    <row r="19" spans="1:54" x14ac:dyDescent="0.25">
      <c r="A19" s="103"/>
      <c r="B19" s="40" t="s">
        <v>125</v>
      </c>
      <c r="C19" s="38" t="s">
        <v>44</v>
      </c>
      <c r="D19" s="194">
        <f>VLOOKUP(C19,College!$B$5:$E$124,2, FALSE)</f>
        <v>1303</v>
      </c>
      <c r="F19" s="40" t="s">
        <v>126</v>
      </c>
      <c r="G19" s="38" t="s">
        <v>251</v>
      </c>
      <c r="H19" s="41">
        <f>VLOOKUP(G19,College!$B$5:$E$124,4, FALSE)</f>
        <v>0.49509483322432962</v>
      </c>
      <c r="J19" s="40" t="s">
        <v>289</v>
      </c>
      <c r="K19" s="38" t="s">
        <v>36</v>
      </c>
      <c r="L19" s="71">
        <v>0.53620689655172415</v>
      </c>
      <c r="M19" s="38">
        <v>155.5</v>
      </c>
      <c r="N19" s="75" t="s">
        <v>175</v>
      </c>
      <c r="O19" s="73">
        <v>290</v>
      </c>
      <c r="P19" s="44">
        <v>2023</v>
      </c>
      <c r="R19" s="76"/>
      <c r="S19" s="38"/>
      <c r="T19" s="71"/>
      <c r="U19" s="38"/>
      <c r="V19" s="75"/>
      <c r="W19" s="73"/>
      <c r="X19" s="65"/>
      <c r="Z19" s="139" t="s">
        <v>234</v>
      </c>
      <c r="AA19" s="38" t="s">
        <v>57</v>
      </c>
      <c r="AB19" s="65">
        <v>2</v>
      </c>
      <c r="AC19" s="44" t="s">
        <v>209</v>
      </c>
      <c r="AD19" s="65" t="s">
        <v>161</v>
      </c>
      <c r="AF19" s="40" t="s">
        <v>112</v>
      </c>
      <c r="AG19" s="38" t="s">
        <v>43</v>
      </c>
      <c r="AH19" s="71">
        <v>0.51040609137055837</v>
      </c>
      <c r="AI19" s="76">
        <v>1005.5</v>
      </c>
      <c r="AJ19" s="75" t="s">
        <v>175</v>
      </c>
      <c r="AK19" s="73">
        <v>1970</v>
      </c>
      <c r="AL19" s="89" t="s">
        <v>227</v>
      </c>
      <c r="AN19" s="40" t="s">
        <v>282</v>
      </c>
      <c r="AO19" s="38" t="s">
        <v>45</v>
      </c>
      <c r="AP19" s="108">
        <v>2</v>
      </c>
      <c r="AQ19" s="44">
        <v>2020</v>
      </c>
      <c r="AS19" s="40" t="s">
        <v>126</v>
      </c>
      <c r="AT19" s="38" t="s">
        <v>61</v>
      </c>
      <c r="AU19" s="124">
        <f>VLOOKUP(AT19,'Weekly Wins'!$B$3:$C$1002,2, FALSE)</f>
        <v>4.1666666666666661</v>
      </c>
      <c r="AW19" s="139" t="s">
        <v>43</v>
      </c>
      <c r="AX19" s="136">
        <f t="shared" si="0"/>
        <v>0.625</v>
      </c>
      <c r="AY19" s="76">
        <v>20</v>
      </c>
      <c r="AZ19" s="135" t="s">
        <v>175</v>
      </c>
      <c r="BA19" s="73">
        <v>32</v>
      </c>
      <c r="BB19" s="44">
        <v>2023</v>
      </c>
    </row>
    <row r="20" spans="1:54" x14ac:dyDescent="0.25">
      <c r="A20" s="103"/>
      <c r="B20" s="40" t="s">
        <v>126</v>
      </c>
      <c r="C20" s="38" t="s">
        <v>62</v>
      </c>
      <c r="D20" s="44">
        <f>VLOOKUP(C20,College!$B$5:$E$124,2, FALSE)</f>
        <v>1276</v>
      </c>
      <c r="F20" s="40" t="s">
        <v>127</v>
      </c>
      <c r="G20" s="38" t="s">
        <v>59</v>
      </c>
      <c r="H20" s="41">
        <f>VLOOKUP(G20,College!$B$5:$E$124,4, FALSE)</f>
        <v>0.49485148514851485</v>
      </c>
      <c r="J20" s="40" t="s">
        <v>289</v>
      </c>
      <c r="K20" s="38" t="s">
        <v>195</v>
      </c>
      <c r="L20" s="71">
        <v>0.53620689655172415</v>
      </c>
      <c r="M20" s="38">
        <v>155.5</v>
      </c>
      <c r="N20" s="75" t="s">
        <v>175</v>
      </c>
      <c r="O20" s="73">
        <v>290</v>
      </c>
      <c r="P20" s="44">
        <v>2023</v>
      </c>
      <c r="R20" s="76"/>
      <c r="S20" s="38"/>
      <c r="T20" s="71"/>
      <c r="U20" s="38"/>
      <c r="V20" s="75"/>
      <c r="W20" s="73"/>
      <c r="X20" s="65"/>
      <c r="Z20" s="40" t="s">
        <v>234</v>
      </c>
      <c r="AA20" s="38" t="s">
        <v>39</v>
      </c>
      <c r="AB20" s="65">
        <v>2</v>
      </c>
      <c r="AC20" s="44" t="s">
        <v>187</v>
      </c>
      <c r="AD20" s="65" t="s">
        <v>161</v>
      </c>
      <c r="AF20" s="40" t="s">
        <v>113</v>
      </c>
      <c r="AG20" s="38" t="s">
        <v>50</v>
      </c>
      <c r="AH20" s="71">
        <v>0.49950298210735589</v>
      </c>
      <c r="AI20" s="76">
        <v>1005</v>
      </c>
      <c r="AJ20" s="75" t="s">
        <v>175</v>
      </c>
      <c r="AK20" s="73">
        <v>2012</v>
      </c>
      <c r="AL20" s="89" t="s">
        <v>180</v>
      </c>
      <c r="AN20" s="40" t="s">
        <v>282</v>
      </c>
      <c r="AO20" s="38" t="s">
        <v>42</v>
      </c>
      <c r="AP20" s="108">
        <v>2</v>
      </c>
      <c r="AQ20" s="44">
        <v>2018</v>
      </c>
      <c r="AS20" s="40" t="s">
        <v>127</v>
      </c>
      <c r="AT20" s="38" t="s">
        <v>66</v>
      </c>
      <c r="AU20" s="124">
        <f>VLOOKUP(AT20,'Weekly Wins'!$B$3:$C$1002,2, FALSE)</f>
        <v>3.95</v>
      </c>
      <c r="AW20" s="139" t="s">
        <v>43</v>
      </c>
      <c r="AX20" s="136">
        <f t="shared" si="0"/>
        <v>0.625</v>
      </c>
      <c r="AY20" s="76">
        <v>20</v>
      </c>
      <c r="AZ20" s="135" t="s">
        <v>175</v>
      </c>
      <c r="BA20" s="73">
        <v>32</v>
      </c>
      <c r="BB20" s="44">
        <v>2022</v>
      </c>
    </row>
    <row r="21" spans="1:54" x14ac:dyDescent="0.25">
      <c r="A21" s="103"/>
      <c r="B21" s="40" t="s">
        <v>127</v>
      </c>
      <c r="C21" s="38" t="s">
        <v>54</v>
      </c>
      <c r="D21" s="44">
        <f>VLOOKUP(C21,College!$B$5:$E$124,2, FALSE)</f>
        <v>1269.5</v>
      </c>
      <c r="F21" s="40" t="s">
        <v>128</v>
      </c>
      <c r="G21" s="38" t="s">
        <v>190</v>
      </c>
      <c r="H21" s="41">
        <f>VLOOKUP(G21,College!$B$5:$E$124,4, FALSE)</f>
        <v>0.49482758620689654</v>
      </c>
      <c r="J21" s="40" t="s">
        <v>128</v>
      </c>
      <c r="K21" s="38" t="s">
        <v>51</v>
      </c>
      <c r="L21" s="71">
        <v>0.53500000000000003</v>
      </c>
      <c r="M21" s="38">
        <v>160.5</v>
      </c>
      <c r="N21" s="75" t="s">
        <v>175</v>
      </c>
      <c r="O21" s="73">
        <v>300</v>
      </c>
      <c r="P21" s="44">
        <v>2019</v>
      </c>
      <c r="R21" s="76"/>
      <c r="S21" s="38"/>
      <c r="T21" s="71"/>
      <c r="U21" s="38"/>
      <c r="V21" s="75"/>
      <c r="W21" s="73"/>
      <c r="X21" s="65"/>
      <c r="Z21" s="40" t="s">
        <v>234</v>
      </c>
      <c r="AA21" s="38" t="s">
        <v>61</v>
      </c>
      <c r="AB21" s="65">
        <v>2</v>
      </c>
      <c r="AC21" s="44" t="s">
        <v>169</v>
      </c>
      <c r="AD21" s="65" t="s">
        <v>161</v>
      </c>
      <c r="AF21" s="40" t="s">
        <v>114</v>
      </c>
      <c r="AG21" s="90" t="s">
        <v>54</v>
      </c>
      <c r="AH21" s="127">
        <v>0.49901477832512314</v>
      </c>
      <c r="AI21" s="112">
        <v>1013</v>
      </c>
      <c r="AJ21" s="91" t="s">
        <v>175</v>
      </c>
      <c r="AK21" s="125">
        <v>2030</v>
      </c>
      <c r="AL21" s="92" t="s">
        <v>260</v>
      </c>
      <c r="AN21" s="40" t="s">
        <v>282</v>
      </c>
      <c r="AO21" s="38" t="s">
        <v>53</v>
      </c>
      <c r="AP21" s="108">
        <v>2</v>
      </c>
      <c r="AQ21" s="44">
        <v>2017</v>
      </c>
      <c r="AS21" s="40" t="s">
        <v>128</v>
      </c>
      <c r="AT21" s="38" t="s">
        <v>191</v>
      </c>
      <c r="AU21" s="124">
        <f>VLOOKUP(AT21,'Weekly Wins'!$B$3:$C$1002,2, FALSE)</f>
        <v>3.8095238095238098</v>
      </c>
      <c r="AW21" s="139" t="s">
        <v>51</v>
      </c>
      <c r="AX21" s="136">
        <f t="shared" si="0"/>
        <v>0.625</v>
      </c>
      <c r="AY21" s="76">
        <v>20</v>
      </c>
      <c r="AZ21" s="135" t="s">
        <v>175</v>
      </c>
      <c r="BA21" s="73">
        <v>32</v>
      </c>
      <c r="BB21" s="44">
        <v>2022</v>
      </c>
    </row>
    <row r="22" spans="1:54" x14ac:dyDescent="0.25">
      <c r="A22" s="103"/>
      <c r="B22" s="40" t="s">
        <v>128</v>
      </c>
      <c r="C22" s="38" t="s">
        <v>59</v>
      </c>
      <c r="D22" s="44">
        <f>VLOOKUP(C22,College!$B$5:$E$124,2, FALSE)</f>
        <v>1249.5</v>
      </c>
      <c r="F22" s="40" t="s">
        <v>129</v>
      </c>
      <c r="G22" s="38" t="s">
        <v>44</v>
      </c>
      <c r="H22" s="41">
        <f>VLOOKUP(G22,College!$B$5:$E$124,4, FALSE)</f>
        <v>0.49356060606060603</v>
      </c>
      <c r="J22" s="40" t="s">
        <v>129</v>
      </c>
      <c r="K22" s="38" t="s">
        <v>42</v>
      </c>
      <c r="L22" s="71">
        <v>0.53298611111111116</v>
      </c>
      <c r="M22" s="38">
        <v>153.5</v>
      </c>
      <c r="N22" s="75" t="s">
        <v>175</v>
      </c>
      <c r="O22" s="73">
        <v>288</v>
      </c>
      <c r="P22" s="44">
        <v>2021</v>
      </c>
      <c r="R22" s="76"/>
      <c r="S22" s="38"/>
      <c r="T22" s="71"/>
      <c r="U22" s="38"/>
      <c r="V22" s="75"/>
      <c r="W22" s="73"/>
      <c r="X22" s="65"/>
      <c r="Z22" s="40" t="s">
        <v>234</v>
      </c>
      <c r="AA22" s="38" t="s">
        <v>45</v>
      </c>
      <c r="AB22" s="65">
        <v>2</v>
      </c>
      <c r="AC22" s="44" t="s">
        <v>169</v>
      </c>
      <c r="AD22" s="65" t="s">
        <v>161</v>
      </c>
      <c r="AF22" s="40" t="s">
        <v>115</v>
      </c>
      <c r="AG22" s="90" t="s">
        <v>59</v>
      </c>
      <c r="AH22" s="127">
        <v>0.49850746268656715</v>
      </c>
      <c r="AI22" s="112">
        <v>1002</v>
      </c>
      <c r="AJ22" s="91" t="s">
        <v>175</v>
      </c>
      <c r="AK22" s="125">
        <v>2010</v>
      </c>
      <c r="AL22" s="92" t="s">
        <v>259</v>
      </c>
      <c r="AN22" s="40" t="s">
        <v>282</v>
      </c>
      <c r="AO22" s="38" t="s">
        <v>66</v>
      </c>
      <c r="AP22" s="108">
        <v>2</v>
      </c>
      <c r="AQ22" s="44">
        <v>2015</v>
      </c>
      <c r="AS22" s="40" t="s">
        <v>129</v>
      </c>
      <c r="AT22" s="38" t="s">
        <v>50</v>
      </c>
      <c r="AU22" s="124">
        <f>VLOOKUP(AT22,'Weekly Wins'!$B$3:$C$1002,2, FALSE)</f>
        <v>3.6845238095238093</v>
      </c>
      <c r="AW22" s="139" t="s">
        <v>55</v>
      </c>
      <c r="AX22" s="136">
        <f t="shared" si="0"/>
        <v>0.61764705882352944</v>
      </c>
      <c r="AY22" s="76">
        <v>21</v>
      </c>
      <c r="AZ22" s="135" t="s">
        <v>175</v>
      </c>
      <c r="BA22" s="73">
        <v>34</v>
      </c>
      <c r="BB22" s="44">
        <v>2020</v>
      </c>
    </row>
    <row r="23" spans="1:54" x14ac:dyDescent="0.25">
      <c r="A23" s="103"/>
      <c r="B23" s="40" t="s">
        <v>129</v>
      </c>
      <c r="C23" s="38" t="s">
        <v>36</v>
      </c>
      <c r="D23" s="44">
        <f>VLOOKUP(C23,College!$B$5:$E$124,2, FALSE)</f>
        <v>1225.5</v>
      </c>
      <c r="F23" s="40" t="s">
        <v>130</v>
      </c>
      <c r="G23" s="38" t="s">
        <v>214</v>
      </c>
      <c r="H23" s="41">
        <f>VLOOKUP(G23,College!$B$5:$E$124,4, FALSE)</f>
        <v>0.49330143540669857</v>
      </c>
      <c r="J23" s="40" t="s">
        <v>290</v>
      </c>
      <c r="K23" s="38" t="s">
        <v>50</v>
      </c>
      <c r="L23" s="71">
        <v>0.53285714285714281</v>
      </c>
      <c r="M23" s="38">
        <v>186.5</v>
      </c>
      <c r="N23" s="75" t="s">
        <v>175</v>
      </c>
      <c r="O23" s="73">
        <v>350</v>
      </c>
      <c r="P23" s="44">
        <v>2015</v>
      </c>
      <c r="R23" s="76"/>
      <c r="S23" s="38"/>
      <c r="T23" s="71"/>
      <c r="U23" s="38"/>
      <c r="V23" s="75"/>
      <c r="W23" s="73"/>
      <c r="X23" s="65"/>
      <c r="Z23" s="40" t="s">
        <v>234</v>
      </c>
      <c r="AA23" s="38" t="s">
        <v>54</v>
      </c>
      <c r="AB23" s="65">
        <v>2</v>
      </c>
      <c r="AC23" s="44" t="s">
        <v>169</v>
      </c>
      <c r="AD23" s="65" t="s">
        <v>161</v>
      </c>
      <c r="AF23" s="40" t="s">
        <v>116</v>
      </c>
      <c r="AG23" s="38" t="s">
        <v>48</v>
      </c>
      <c r="AH23" s="71">
        <v>0.49679960610536683</v>
      </c>
      <c r="AI23" s="76">
        <v>1009</v>
      </c>
      <c r="AJ23" s="75" t="s">
        <v>175</v>
      </c>
      <c r="AK23" s="73">
        <v>2031</v>
      </c>
      <c r="AL23" s="89" t="s">
        <v>181</v>
      </c>
      <c r="AN23" s="40" t="s">
        <v>282</v>
      </c>
      <c r="AO23" s="38" t="s">
        <v>40</v>
      </c>
      <c r="AP23" s="108">
        <v>2</v>
      </c>
      <c r="AQ23" s="44">
        <v>2015</v>
      </c>
      <c r="AS23" s="40" t="s">
        <v>130</v>
      </c>
      <c r="AT23" s="38" t="s">
        <v>48</v>
      </c>
      <c r="AU23" s="124">
        <f>VLOOKUP(AT23,'Weekly Wins'!$B$3:$C$1002,2, FALSE)</f>
        <v>3.5749999999999997</v>
      </c>
      <c r="AW23" s="139" t="s">
        <v>51</v>
      </c>
      <c r="AX23" s="136">
        <f t="shared" si="0"/>
        <v>0.61764705882352944</v>
      </c>
      <c r="AY23" s="76">
        <v>21</v>
      </c>
      <c r="AZ23" s="135" t="s">
        <v>175</v>
      </c>
      <c r="BA23" s="73">
        <v>34</v>
      </c>
      <c r="BB23" s="44">
        <v>2019</v>
      </c>
    </row>
    <row r="24" spans="1:54" x14ac:dyDescent="0.25">
      <c r="A24" s="103"/>
      <c r="B24" s="40" t="s">
        <v>130</v>
      </c>
      <c r="C24" s="38" t="s">
        <v>47</v>
      </c>
      <c r="D24" s="44">
        <f>VLOOKUP(C24,College!$B$5:$E$124,2, FALSE)</f>
        <v>1185.5</v>
      </c>
      <c r="F24" s="40" t="s">
        <v>131</v>
      </c>
      <c r="G24" s="38" t="s">
        <v>77</v>
      </c>
      <c r="H24" s="41">
        <f>VLOOKUP(G24,College!$B$5:$E$124,4, FALSE)</f>
        <v>0.49137931034482757</v>
      </c>
      <c r="J24" s="40" t="s">
        <v>290</v>
      </c>
      <c r="K24" s="38" t="s">
        <v>56</v>
      </c>
      <c r="L24" s="71">
        <v>0.53285714285714281</v>
      </c>
      <c r="M24" s="38">
        <v>186.5</v>
      </c>
      <c r="N24" s="75" t="s">
        <v>175</v>
      </c>
      <c r="O24" s="73">
        <v>350</v>
      </c>
      <c r="P24" s="44">
        <v>2015</v>
      </c>
      <c r="R24" s="76"/>
      <c r="S24" s="38"/>
      <c r="T24" s="71"/>
      <c r="U24" s="38"/>
      <c r="V24" s="75"/>
      <c r="W24" s="73"/>
      <c r="X24" s="65"/>
      <c r="Z24" s="40" t="s">
        <v>234</v>
      </c>
      <c r="AA24" s="38" t="s">
        <v>39</v>
      </c>
      <c r="AB24" s="65">
        <v>2</v>
      </c>
      <c r="AC24" s="44" t="s">
        <v>171</v>
      </c>
      <c r="AD24" s="65" t="s">
        <v>161</v>
      </c>
      <c r="AF24" s="40" t="s">
        <v>261</v>
      </c>
      <c r="AG24" s="38" t="s">
        <v>60</v>
      </c>
      <c r="AH24" s="71">
        <v>0.49507631708517974</v>
      </c>
      <c r="AI24" s="76">
        <v>1005.5</v>
      </c>
      <c r="AJ24" s="75" t="s">
        <v>175</v>
      </c>
      <c r="AK24" s="73">
        <v>2031</v>
      </c>
      <c r="AL24" s="92" t="s">
        <v>181</v>
      </c>
      <c r="AN24" s="40" t="s">
        <v>282</v>
      </c>
      <c r="AO24" s="38" t="s">
        <v>45</v>
      </c>
      <c r="AP24" s="108">
        <v>2</v>
      </c>
      <c r="AQ24" s="44">
        <v>2015</v>
      </c>
      <c r="AS24" s="40" t="s">
        <v>131</v>
      </c>
      <c r="AT24" s="38" t="s">
        <v>54</v>
      </c>
      <c r="AU24" s="124">
        <f>VLOOKUP(AT24,'Weekly Wins'!$B$3:$C$1002,2, FALSE)</f>
        <v>2.8428571428571425</v>
      </c>
      <c r="AW24" s="139" t="s">
        <v>55</v>
      </c>
      <c r="AX24" s="136">
        <f t="shared" si="0"/>
        <v>0.61764705882352944</v>
      </c>
      <c r="AY24" s="76">
        <v>21</v>
      </c>
      <c r="AZ24" s="135" t="s">
        <v>175</v>
      </c>
      <c r="BA24" s="73">
        <v>34</v>
      </c>
      <c r="BB24" s="44">
        <v>2019</v>
      </c>
    </row>
    <row r="25" spans="1:54" x14ac:dyDescent="0.25">
      <c r="A25" s="103"/>
      <c r="B25" s="40" t="s">
        <v>131</v>
      </c>
      <c r="C25" s="38" t="s">
        <v>53</v>
      </c>
      <c r="D25" s="44">
        <f>VLOOKUP(C25,College!$B$5:$E$124,2, FALSE)</f>
        <v>1118.5</v>
      </c>
      <c r="F25" s="40" t="s">
        <v>132</v>
      </c>
      <c r="G25" s="38" t="s">
        <v>46</v>
      </c>
      <c r="H25" s="41">
        <f>VLOOKUP(G25,College!$B$5:$E$124,4, FALSE)</f>
        <v>0.49129662522202489</v>
      </c>
      <c r="J25" s="40" t="s">
        <v>132</v>
      </c>
      <c r="K25" s="38" t="s">
        <v>43</v>
      </c>
      <c r="L25" s="71">
        <v>0.53275862068965518</v>
      </c>
      <c r="M25" s="38">
        <v>154.5</v>
      </c>
      <c r="N25" s="75" t="s">
        <v>175</v>
      </c>
      <c r="O25" s="73">
        <v>290</v>
      </c>
      <c r="P25" s="44">
        <v>2023</v>
      </c>
      <c r="R25" s="76"/>
      <c r="S25" s="38"/>
      <c r="T25" s="71"/>
      <c r="U25" s="38"/>
      <c r="V25" s="75"/>
      <c r="W25" s="73"/>
      <c r="X25" s="65"/>
      <c r="Z25" s="40" t="s">
        <v>234</v>
      </c>
      <c r="AA25" s="38" t="s">
        <v>60</v>
      </c>
      <c r="AB25" s="65">
        <v>2</v>
      </c>
      <c r="AC25" s="44" t="s">
        <v>170</v>
      </c>
      <c r="AD25" s="65" t="s">
        <v>161</v>
      </c>
      <c r="AF25" s="40" t="s">
        <v>261</v>
      </c>
      <c r="AG25" s="38" t="s">
        <v>39</v>
      </c>
      <c r="AH25" s="71">
        <v>0.49507631708517974</v>
      </c>
      <c r="AI25" s="76">
        <v>1005.5</v>
      </c>
      <c r="AJ25" s="75" t="s">
        <v>175</v>
      </c>
      <c r="AK25" s="73">
        <v>2031</v>
      </c>
      <c r="AL25" s="92" t="s">
        <v>181</v>
      </c>
      <c r="AN25" s="40" t="s">
        <v>132</v>
      </c>
      <c r="AO25" s="38" t="s">
        <v>60</v>
      </c>
      <c r="AP25" s="108">
        <v>1.8333333333333333</v>
      </c>
      <c r="AQ25" s="44">
        <v>2016</v>
      </c>
      <c r="AS25" s="40" t="s">
        <v>284</v>
      </c>
      <c r="AT25" s="38" t="s">
        <v>70</v>
      </c>
      <c r="AU25" s="124">
        <f>VLOOKUP(AT25,'Weekly Wins'!$B$3:$C$1002,2, FALSE)</f>
        <v>2.5</v>
      </c>
      <c r="AW25" s="139" t="s">
        <v>40</v>
      </c>
      <c r="AX25" s="136">
        <f t="shared" si="0"/>
        <v>0.609375</v>
      </c>
      <c r="AY25" s="76">
        <v>19.5</v>
      </c>
      <c r="AZ25" s="135" t="s">
        <v>175</v>
      </c>
      <c r="BA25" s="73">
        <v>32</v>
      </c>
      <c r="BB25" s="44">
        <v>2023</v>
      </c>
    </row>
    <row r="26" spans="1:54" ht="15.75" thickBot="1" x14ac:dyDescent="0.3">
      <c r="A26" s="103"/>
      <c r="B26" s="40" t="s">
        <v>132</v>
      </c>
      <c r="C26" s="38" t="s">
        <v>41</v>
      </c>
      <c r="D26" s="194">
        <f>VLOOKUP(C26,College!$B$5:$E$124,2, FALSE)</f>
        <v>857.5</v>
      </c>
      <c r="F26" s="40" t="s">
        <v>133</v>
      </c>
      <c r="G26" s="38" t="s">
        <v>51</v>
      </c>
      <c r="H26" s="41">
        <f>VLOOKUP(G26,College!$B$5:$E$124,4, FALSE)</f>
        <v>0.49114331723027377</v>
      </c>
      <c r="J26" s="40" t="s">
        <v>133</v>
      </c>
      <c r="K26" s="38" t="s">
        <v>196</v>
      </c>
      <c r="L26" s="71">
        <v>0.532258064516129</v>
      </c>
      <c r="M26" s="38">
        <v>165</v>
      </c>
      <c r="N26" s="75" t="s">
        <v>175</v>
      </c>
      <c r="O26" s="73">
        <v>310</v>
      </c>
      <c r="P26" s="44">
        <v>2024</v>
      </c>
      <c r="R26" s="76"/>
      <c r="S26" s="38"/>
      <c r="T26" s="71"/>
      <c r="U26" s="38"/>
      <c r="V26" s="75"/>
      <c r="W26" s="73"/>
      <c r="X26" s="65"/>
      <c r="Z26" s="42" t="s">
        <v>234</v>
      </c>
      <c r="AA26" s="43" t="s">
        <v>40</v>
      </c>
      <c r="AB26" s="69">
        <v>2</v>
      </c>
      <c r="AC26" s="45" t="s">
        <v>170</v>
      </c>
      <c r="AD26" s="65" t="s">
        <v>161</v>
      </c>
      <c r="AF26" s="40" t="s">
        <v>119</v>
      </c>
      <c r="AG26" s="90" t="s">
        <v>45</v>
      </c>
      <c r="AH26" s="171">
        <v>0.49458394879369766</v>
      </c>
      <c r="AI26" s="112">
        <v>1004.5</v>
      </c>
      <c r="AJ26" s="91" t="s">
        <v>175</v>
      </c>
      <c r="AK26" s="125">
        <v>2031</v>
      </c>
      <c r="AL26" s="92" t="s">
        <v>181</v>
      </c>
      <c r="AN26" s="40" t="s">
        <v>133</v>
      </c>
      <c r="AO26" s="38" t="s">
        <v>60</v>
      </c>
      <c r="AP26" s="108">
        <v>1.75</v>
      </c>
      <c r="AQ26" s="44">
        <v>2019</v>
      </c>
      <c r="AS26" s="40" t="s">
        <v>284</v>
      </c>
      <c r="AT26" s="38" t="s">
        <v>36</v>
      </c>
      <c r="AU26" s="124">
        <f>VLOOKUP(AT26,'Weekly Wins'!$B$3:$C$1002,2, FALSE)</f>
        <v>2.5</v>
      </c>
      <c r="AW26" s="139" t="s">
        <v>55</v>
      </c>
      <c r="AX26" s="136">
        <f t="shared" si="0"/>
        <v>0.609375</v>
      </c>
      <c r="AY26" s="76">
        <v>19.5</v>
      </c>
      <c r="AZ26" s="135" t="s">
        <v>175</v>
      </c>
      <c r="BA26" s="73">
        <v>32</v>
      </c>
      <c r="BB26" s="44">
        <v>2022</v>
      </c>
    </row>
    <row r="27" spans="1:54" x14ac:dyDescent="0.25">
      <c r="A27" s="103"/>
      <c r="B27" s="40" t="s">
        <v>133</v>
      </c>
      <c r="C27" s="38" t="s">
        <v>251</v>
      </c>
      <c r="D27" s="225">
        <f>VLOOKUP(C27,College!$B$5:$E$124,2, FALSE)</f>
        <v>757</v>
      </c>
      <c r="F27" s="48" t="s">
        <v>63</v>
      </c>
      <c r="G27" s="46" t="s">
        <v>106</v>
      </c>
      <c r="H27" s="49">
        <f>VLOOKUP(G27,College!$B$5:$E$124,4, FALSE)</f>
        <v>0.49088277858176554</v>
      </c>
      <c r="J27" s="40" t="s">
        <v>134</v>
      </c>
      <c r="K27" s="38" t="s">
        <v>54</v>
      </c>
      <c r="L27" s="71">
        <v>0.53166666666666662</v>
      </c>
      <c r="M27" s="38">
        <v>159.5</v>
      </c>
      <c r="N27" s="75" t="s">
        <v>175</v>
      </c>
      <c r="O27" s="73">
        <v>300</v>
      </c>
      <c r="P27" s="44">
        <v>2019</v>
      </c>
      <c r="R27" s="76"/>
      <c r="S27" s="38"/>
      <c r="T27" s="71"/>
      <c r="U27" s="38"/>
      <c r="V27" s="75"/>
      <c r="W27" s="73"/>
      <c r="X27" s="65"/>
      <c r="AF27" s="40" t="s">
        <v>120</v>
      </c>
      <c r="AG27" s="38" t="s">
        <v>36</v>
      </c>
      <c r="AH27" s="172">
        <v>0.49458128078817731</v>
      </c>
      <c r="AI27" s="76">
        <v>1004</v>
      </c>
      <c r="AJ27" s="75" t="s">
        <v>175</v>
      </c>
      <c r="AK27" s="73">
        <v>2030</v>
      </c>
      <c r="AL27" s="92" t="s">
        <v>260</v>
      </c>
      <c r="AN27" s="40" t="s">
        <v>134</v>
      </c>
      <c r="AO27" s="38" t="s">
        <v>240</v>
      </c>
      <c r="AP27" s="132">
        <v>1.6666666666666665</v>
      </c>
      <c r="AQ27" s="44">
        <v>2025</v>
      </c>
      <c r="AS27" s="40" t="s">
        <v>284</v>
      </c>
      <c r="AT27" s="38" t="s">
        <v>215</v>
      </c>
      <c r="AU27" s="124">
        <f>VLOOKUP(AT27,'Weekly Wins'!$B$3:$C$1002,2, FALSE)</f>
        <v>2.5</v>
      </c>
      <c r="AW27" s="139" t="s">
        <v>39</v>
      </c>
      <c r="AX27" s="136">
        <f t="shared" si="0"/>
        <v>0.609375</v>
      </c>
      <c r="AY27" s="76">
        <v>19.5</v>
      </c>
      <c r="AZ27" s="135" t="s">
        <v>175</v>
      </c>
      <c r="BA27" s="73">
        <v>32</v>
      </c>
      <c r="BB27" s="44">
        <v>2022</v>
      </c>
    </row>
    <row r="28" spans="1:54" ht="15.75" thickBot="1" x14ac:dyDescent="0.3">
      <c r="A28" s="103"/>
      <c r="B28" s="40" t="s">
        <v>134</v>
      </c>
      <c r="C28" s="38" t="s">
        <v>38</v>
      </c>
      <c r="D28" s="194">
        <f>VLOOKUP(C28,College!$B$5:$E$124,2, FALSE)</f>
        <v>726</v>
      </c>
      <c r="F28" s="40" t="s">
        <v>134</v>
      </c>
      <c r="G28" s="38" t="s">
        <v>39</v>
      </c>
      <c r="H28" s="41">
        <f>VLOOKUP(G28,College!$B$5:$E$124,4, FALSE)</f>
        <v>0.49044862518089727</v>
      </c>
      <c r="J28" s="40" t="s">
        <v>291</v>
      </c>
      <c r="K28" s="38" t="s">
        <v>43</v>
      </c>
      <c r="L28" s="71">
        <v>0.52951388888888884</v>
      </c>
      <c r="M28" s="38">
        <v>152.5</v>
      </c>
      <c r="N28" s="75" t="s">
        <v>175</v>
      </c>
      <c r="O28" s="73">
        <v>288</v>
      </c>
      <c r="P28" s="44">
        <v>2021</v>
      </c>
      <c r="R28" s="76"/>
      <c r="S28" s="38"/>
      <c r="T28" s="71"/>
      <c r="U28" s="38"/>
      <c r="V28" s="75"/>
      <c r="W28" s="73"/>
      <c r="X28" s="65"/>
      <c r="Z28" s="38"/>
      <c r="AA28" s="38" t="s">
        <v>239</v>
      </c>
      <c r="AB28" s="38"/>
      <c r="AC28" s="38">
        <v>2025</v>
      </c>
      <c r="AD28" s="66" t="s">
        <v>162</v>
      </c>
      <c r="AF28" s="40" t="s">
        <v>121</v>
      </c>
      <c r="AG28" s="38" t="s">
        <v>53</v>
      </c>
      <c r="AH28" s="71">
        <f>AI28/AK28</f>
        <v>0.49360865290068828</v>
      </c>
      <c r="AI28" s="76">
        <v>1004</v>
      </c>
      <c r="AJ28" s="75" t="s">
        <v>175</v>
      </c>
      <c r="AK28" s="76">
        <v>2034</v>
      </c>
      <c r="AL28" s="92" t="s">
        <v>285</v>
      </c>
      <c r="AN28" s="40" t="s">
        <v>291</v>
      </c>
      <c r="AO28" s="38" t="s">
        <v>191</v>
      </c>
      <c r="AP28" s="132">
        <v>1.5</v>
      </c>
      <c r="AQ28" s="44">
        <v>2025</v>
      </c>
      <c r="AS28" s="42" t="s">
        <v>284</v>
      </c>
      <c r="AT28" s="43" t="s">
        <v>37</v>
      </c>
      <c r="AU28" s="159">
        <f>VLOOKUP(AT28,'Weekly Wins'!$B$3:$C$1002,2, FALSE)</f>
        <v>2.5</v>
      </c>
      <c r="AW28" s="140" t="s">
        <v>56</v>
      </c>
      <c r="AX28" s="142">
        <f t="shared" si="0"/>
        <v>0.609375</v>
      </c>
      <c r="AY28" s="111">
        <v>19.5</v>
      </c>
      <c r="AZ28" s="141" t="s">
        <v>175</v>
      </c>
      <c r="BA28" s="74">
        <v>32</v>
      </c>
      <c r="BB28" s="45">
        <v>2017</v>
      </c>
    </row>
    <row r="29" spans="1:54" ht="15.75" thickBot="1" x14ac:dyDescent="0.3">
      <c r="A29" s="103"/>
      <c r="B29" s="40" t="s">
        <v>135</v>
      </c>
      <c r="C29" s="38" t="s">
        <v>66</v>
      </c>
      <c r="D29" s="194">
        <f>VLOOKUP(C29,College!$B$5:$E$124,2, FALSE)</f>
        <v>712</v>
      </c>
      <c r="F29" s="40" t="s">
        <v>135</v>
      </c>
      <c r="G29" s="38" t="s">
        <v>47</v>
      </c>
      <c r="H29" s="41">
        <f>VLOOKUP(G29,College!$B$5:$E$124,4, FALSE)</f>
        <v>0.49007854485324515</v>
      </c>
      <c r="J29" s="42" t="s">
        <v>291</v>
      </c>
      <c r="K29" s="164" t="s">
        <v>47</v>
      </c>
      <c r="L29" s="60">
        <v>0.52951388888888884</v>
      </c>
      <c r="M29" s="164">
        <v>152.5</v>
      </c>
      <c r="N29" s="165" t="s">
        <v>175</v>
      </c>
      <c r="O29" s="149">
        <v>288</v>
      </c>
      <c r="P29" s="61">
        <v>2021</v>
      </c>
      <c r="R29" s="76"/>
      <c r="S29" s="38"/>
      <c r="T29" s="71"/>
      <c r="U29" s="38"/>
      <c r="V29" s="75"/>
      <c r="W29" s="73"/>
      <c r="X29" s="65"/>
      <c r="Z29" s="38"/>
      <c r="AA29" s="38" t="s">
        <v>60</v>
      </c>
      <c r="AB29" s="38"/>
      <c r="AC29" s="38">
        <v>2025</v>
      </c>
      <c r="AD29" s="66" t="s">
        <v>162</v>
      </c>
      <c r="AF29" s="40" t="s">
        <v>122</v>
      </c>
      <c r="AG29" s="38" t="s">
        <v>46</v>
      </c>
      <c r="AH29" s="71">
        <v>0.49313725490196081</v>
      </c>
      <c r="AI29" s="76">
        <v>1006</v>
      </c>
      <c r="AJ29" s="75" t="s">
        <v>175</v>
      </c>
      <c r="AK29" s="73">
        <v>2040</v>
      </c>
      <c r="AL29" s="89" t="s">
        <v>232</v>
      </c>
      <c r="AN29" s="40" t="s">
        <v>291</v>
      </c>
      <c r="AO29" s="38" t="s">
        <v>215</v>
      </c>
      <c r="AP29" s="108">
        <v>1.5</v>
      </c>
      <c r="AQ29" s="44">
        <v>2024</v>
      </c>
      <c r="AS29" s="94" t="s">
        <v>136</v>
      </c>
      <c r="AT29" s="95" t="s">
        <v>240</v>
      </c>
      <c r="AU29" s="109">
        <f>VLOOKUP(AT29,'Weekly Wins'!$B$3:$C$1002,2, FALSE)</f>
        <v>2.1666666666666665</v>
      </c>
      <c r="AW29" s="95" t="s">
        <v>82</v>
      </c>
      <c r="AX29" s="138">
        <f t="shared" si="0"/>
        <v>0.6029411764705882</v>
      </c>
      <c r="AY29" s="94">
        <v>20.5</v>
      </c>
      <c r="AZ29" s="137" t="s">
        <v>175</v>
      </c>
      <c r="BA29" s="130">
        <v>34</v>
      </c>
      <c r="BB29" s="96">
        <v>2019</v>
      </c>
    </row>
    <row r="30" spans="1:54" x14ac:dyDescent="0.25">
      <c r="A30" s="103"/>
      <c r="B30" s="40" t="s">
        <v>136</v>
      </c>
      <c r="C30" s="38" t="s">
        <v>191</v>
      </c>
      <c r="D30" s="44">
        <f>VLOOKUP(C30,College!$B$5:$E$124,2, FALSE)</f>
        <v>691</v>
      </c>
      <c r="F30" s="40" t="s">
        <v>136</v>
      </c>
      <c r="G30" s="38" t="s">
        <v>71</v>
      </c>
      <c r="H30" s="41">
        <f>VLOOKUP(G30,College!$B$5:$E$124,4, FALSE)</f>
        <v>0.49</v>
      </c>
      <c r="J30" s="174"/>
      <c r="K30" s="95" t="s">
        <v>50</v>
      </c>
      <c r="L30" s="128">
        <v>0.52931034482758621</v>
      </c>
      <c r="M30" s="95">
        <v>153.5</v>
      </c>
      <c r="N30" s="129" t="s">
        <v>175</v>
      </c>
      <c r="O30" s="130">
        <v>290</v>
      </c>
      <c r="P30" s="96">
        <v>2023</v>
      </c>
      <c r="R30" s="76"/>
      <c r="S30" s="38"/>
      <c r="T30" s="71"/>
      <c r="U30" s="38"/>
      <c r="V30" s="75"/>
      <c r="W30" s="73"/>
      <c r="X30" s="65"/>
      <c r="Z30" s="38"/>
      <c r="AA30" s="38" t="s">
        <v>240</v>
      </c>
      <c r="AB30" s="38"/>
      <c r="AC30" s="38">
        <v>2025</v>
      </c>
      <c r="AD30" s="66" t="s">
        <v>162</v>
      </c>
      <c r="AF30" s="40" t="s">
        <v>123</v>
      </c>
      <c r="AG30" s="90" t="s">
        <v>47</v>
      </c>
      <c r="AH30" s="127">
        <v>0.49219512195121951</v>
      </c>
      <c r="AI30" s="112">
        <v>1009</v>
      </c>
      <c r="AJ30" s="91" t="s">
        <v>175</v>
      </c>
      <c r="AK30" s="125">
        <v>2050</v>
      </c>
      <c r="AL30" s="92" t="s">
        <v>228</v>
      </c>
      <c r="AN30" s="40" t="s">
        <v>291</v>
      </c>
      <c r="AO30" s="38" t="s">
        <v>60</v>
      </c>
      <c r="AP30" s="108">
        <v>1.5</v>
      </c>
      <c r="AQ30" s="44">
        <v>2022</v>
      </c>
      <c r="AS30" s="94" t="s">
        <v>137</v>
      </c>
      <c r="AT30" s="95" t="s">
        <v>68</v>
      </c>
      <c r="AU30" s="109">
        <f>VLOOKUP(AT30,'Weekly Wins'!$B$3:$C$1002,2, FALSE)</f>
        <v>2.1428571428571428</v>
      </c>
      <c r="AW30" s="38" t="s">
        <v>239</v>
      </c>
      <c r="AX30" s="175">
        <f t="shared" si="0"/>
        <v>0.6</v>
      </c>
      <c r="AY30" s="38">
        <v>21</v>
      </c>
      <c r="AZ30" s="135" t="s">
        <v>175</v>
      </c>
      <c r="BA30" s="73">
        <v>35</v>
      </c>
      <c r="BB30" s="65">
        <v>2025</v>
      </c>
    </row>
    <row r="31" spans="1:54" x14ac:dyDescent="0.25">
      <c r="A31" s="103"/>
      <c r="B31" s="40" t="s">
        <v>137</v>
      </c>
      <c r="C31" s="38" t="s">
        <v>57</v>
      </c>
      <c r="D31" s="44">
        <f>VLOOKUP(C31,College!$B$5:$E$124,2, FALSE)</f>
        <v>668.5</v>
      </c>
      <c r="F31" s="40" t="s">
        <v>137</v>
      </c>
      <c r="G31" s="38" t="s">
        <v>53</v>
      </c>
      <c r="H31" s="41">
        <f>VLOOKUP(G31,College!$B$5:$E$124,4, FALSE)</f>
        <v>0.48992553657468246</v>
      </c>
      <c r="J31" s="94"/>
      <c r="K31" s="95"/>
      <c r="L31" s="128"/>
      <c r="M31" s="95"/>
      <c r="N31" s="129"/>
      <c r="O31" s="130"/>
      <c r="P31" s="96"/>
      <c r="R31" s="76"/>
      <c r="S31" s="38"/>
      <c r="T31" s="71"/>
      <c r="U31" s="38"/>
      <c r="V31" s="75"/>
      <c r="W31" s="73"/>
      <c r="X31" s="65"/>
      <c r="Z31" s="38"/>
      <c r="AA31" s="38" t="s">
        <v>62</v>
      </c>
      <c r="AB31" s="38"/>
      <c r="AC31" s="38">
        <v>2025</v>
      </c>
      <c r="AD31" s="66" t="s">
        <v>162</v>
      </c>
      <c r="AF31" s="40" t="s">
        <v>124</v>
      </c>
      <c r="AG31" s="38" t="s">
        <v>51</v>
      </c>
      <c r="AH31" s="71">
        <v>0.48956310679611653</v>
      </c>
      <c r="AI31" s="76">
        <v>1008.5</v>
      </c>
      <c r="AJ31" s="75" t="s">
        <v>175</v>
      </c>
      <c r="AK31" s="73">
        <v>2060</v>
      </c>
      <c r="AL31" s="89" t="s">
        <v>222</v>
      </c>
      <c r="AN31" s="40" t="s">
        <v>291</v>
      </c>
      <c r="AO31" s="38" t="s">
        <v>36</v>
      </c>
      <c r="AP31" s="108">
        <v>1.5</v>
      </c>
      <c r="AQ31" s="44">
        <v>2021</v>
      </c>
      <c r="AS31" s="76" t="s">
        <v>138</v>
      </c>
      <c r="AT31" s="38" t="s">
        <v>224</v>
      </c>
      <c r="AU31" s="108">
        <f>VLOOKUP(AT31,'Weekly Wins'!$B$3:$C$1002,2, FALSE)</f>
        <v>2</v>
      </c>
      <c r="AW31" s="38" t="s">
        <v>48</v>
      </c>
      <c r="AX31" s="175">
        <f t="shared" si="0"/>
        <v>0.6</v>
      </c>
      <c r="AY31" s="38">
        <v>21</v>
      </c>
      <c r="AZ31" s="135" t="s">
        <v>175</v>
      </c>
      <c r="BA31" s="73">
        <v>35</v>
      </c>
      <c r="BB31" s="65">
        <v>2025</v>
      </c>
    </row>
    <row r="32" spans="1:54" x14ac:dyDescent="0.25">
      <c r="A32" s="103"/>
      <c r="B32" s="40" t="s">
        <v>390</v>
      </c>
      <c r="C32" s="38" t="s">
        <v>196</v>
      </c>
      <c r="D32" s="44">
        <f>VLOOKUP(C32,College!$B$5:$E$124,2, FALSE)</f>
        <v>654</v>
      </c>
      <c r="F32" s="40" t="s">
        <v>138</v>
      </c>
      <c r="G32" s="38" t="s">
        <v>60</v>
      </c>
      <c r="H32" s="41">
        <f>VLOOKUP(G32,College!$B$5:$E$124,4, FALSE)</f>
        <v>0.488712011577424</v>
      </c>
      <c r="J32" s="94"/>
      <c r="K32" s="95"/>
      <c r="L32" s="128"/>
      <c r="M32" s="95"/>
      <c r="N32" s="129"/>
      <c r="O32" s="130"/>
      <c r="P32" s="96"/>
      <c r="R32" s="76"/>
      <c r="S32" s="38"/>
      <c r="T32" s="71"/>
      <c r="U32" s="38"/>
      <c r="V32" s="75"/>
      <c r="W32" s="73"/>
      <c r="X32" s="65"/>
      <c r="Z32" s="38"/>
      <c r="AA32" s="38" t="s">
        <v>54</v>
      </c>
      <c r="AB32" s="38"/>
      <c r="AC32" s="38">
        <v>2025</v>
      </c>
      <c r="AD32" s="66" t="s">
        <v>162</v>
      </c>
      <c r="AF32" s="40" t="s">
        <v>125</v>
      </c>
      <c r="AG32" s="38" t="s">
        <v>40</v>
      </c>
      <c r="AH32" s="71">
        <v>0.48914092664092662</v>
      </c>
      <c r="AI32" s="76">
        <v>1013.5</v>
      </c>
      <c r="AJ32" s="75" t="s">
        <v>175</v>
      </c>
      <c r="AK32" s="73">
        <v>2072</v>
      </c>
      <c r="AL32" s="89" t="s">
        <v>183</v>
      </c>
      <c r="AN32" s="40" t="s">
        <v>291</v>
      </c>
      <c r="AO32" s="38" t="s">
        <v>39</v>
      </c>
      <c r="AP32" s="108">
        <v>1.5</v>
      </c>
      <c r="AQ32" s="44">
        <v>2021</v>
      </c>
      <c r="AS32" s="76" t="s">
        <v>139</v>
      </c>
      <c r="AT32" s="38" t="s">
        <v>57</v>
      </c>
      <c r="AU32" s="108">
        <f>VLOOKUP(AT32,'Weekly Wins'!$B$3:$C$1002,2, FALSE)</f>
        <v>1.9166666666666665</v>
      </c>
      <c r="AW32" s="38" t="s">
        <v>214</v>
      </c>
      <c r="AX32" s="175">
        <f t="shared" si="0"/>
        <v>0.6</v>
      </c>
      <c r="AY32" s="38">
        <v>21</v>
      </c>
      <c r="AZ32" s="135" t="s">
        <v>175</v>
      </c>
      <c r="BA32" s="73">
        <v>35</v>
      </c>
      <c r="BB32" s="65">
        <v>2025</v>
      </c>
    </row>
    <row r="33" spans="1:54" x14ac:dyDescent="0.25">
      <c r="A33" s="103"/>
      <c r="B33" s="40" t="s">
        <v>390</v>
      </c>
      <c r="C33" s="38" t="s">
        <v>194</v>
      </c>
      <c r="D33" s="44">
        <f>VLOOKUP(C33,College!$B$5:$E$124,2, FALSE)</f>
        <v>654</v>
      </c>
      <c r="F33" s="40" t="s">
        <v>139</v>
      </c>
      <c r="G33" s="38" t="s">
        <v>41</v>
      </c>
      <c r="H33" s="41">
        <f>VLOOKUP(G33,College!$B$5:$E$124,4, FALSE)</f>
        <v>0.48860398860398863</v>
      </c>
      <c r="J33" s="76"/>
      <c r="K33" s="38"/>
      <c r="L33" s="71"/>
      <c r="M33" s="38"/>
      <c r="N33" s="75"/>
      <c r="O33" s="73"/>
      <c r="P33" s="65"/>
      <c r="R33" s="76"/>
      <c r="S33" s="38"/>
      <c r="T33" s="71"/>
      <c r="U33" s="38"/>
      <c r="V33" s="75"/>
      <c r="W33" s="73"/>
      <c r="X33" s="65"/>
      <c r="Z33" s="38"/>
      <c r="AA33" s="38" t="s">
        <v>212</v>
      </c>
      <c r="AB33" s="38"/>
      <c r="AC33" s="38">
        <v>2025</v>
      </c>
      <c r="AD33" s="66" t="s">
        <v>162</v>
      </c>
      <c r="AF33" s="40" t="s">
        <v>126</v>
      </c>
      <c r="AG33" s="38" t="s">
        <v>44</v>
      </c>
      <c r="AH33" s="71">
        <v>0.48859223300970872</v>
      </c>
      <c r="AI33" s="76">
        <v>1006.5</v>
      </c>
      <c r="AJ33" s="75" t="s">
        <v>175</v>
      </c>
      <c r="AK33" s="73">
        <v>2060</v>
      </c>
      <c r="AL33" s="89" t="s">
        <v>222</v>
      </c>
      <c r="AN33" s="40" t="s">
        <v>291</v>
      </c>
      <c r="AO33" s="95" t="s">
        <v>37</v>
      </c>
      <c r="AP33" s="109">
        <v>1.5</v>
      </c>
      <c r="AQ33" s="133">
        <v>2021</v>
      </c>
      <c r="AS33" s="76" t="s">
        <v>140</v>
      </c>
      <c r="AT33" s="38" t="s">
        <v>212</v>
      </c>
      <c r="AU33" s="108">
        <f>VLOOKUP(AT33,'Weekly Wins'!$B$3:$C$1002,2, FALSE)</f>
        <v>1.9</v>
      </c>
      <c r="AW33" s="95" t="s">
        <v>54</v>
      </c>
      <c r="AX33" s="138">
        <f t="shared" si="0"/>
        <v>0.6</v>
      </c>
      <c r="AY33" s="95">
        <v>21</v>
      </c>
      <c r="AZ33" s="137" t="s">
        <v>175</v>
      </c>
      <c r="BA33" s="95">
        <v>35</v>
      </c>
      <c r="BB33" s="95">
        <v>2024</v>
      </c>
    </row>
    <row r="34" spans="1:54" x14ac:dyDescent="0.25">
      <c r="A34" s="103"/>
      <c r="B34" s="40" t="s">
        <v>140</v>
      </c>
      <c r="C34" s="38" t="s">
        <v>195</v>
      </c>
      <c r="D34" s="44">
        <f>VLOOKUP(C34,College!$B$5:$E$124,2, FALSE)</f>
        <v>627</v>
      </c>
      <c r="F34" s="40" t="s">
        <v>140</v>
      </c>
      <c r="G34" s="38" t="s">
        <v>40</v>
      </c>
      <c r="H34" s="41">
        <f>VLOOKUP(G34,College!$B$5:$E$124,4, FALSE)</f>
        <v>0.48842257597684513</v>
      </c>
      <c r="J34" s="76"/>
      <c r="K34" s="38"/>
      <c r="L34" s="71"/>
      <c r="M34" s="38"/>
      <c r="N34" s="75"/>
      <c r="O34" s="73"/>
      <c r="P34" s="65"/>
      <c r="R34" s="76"/>
      <c r="S34" s="38"/>
      <c r="T34" s="71"/>
      <c r="U34" s="38"/>
      <c r="V34" s="75"/>
      <c r="W34" s="73"/>
      <c r="X34" s="65"/>
      <c r="Z34" s="38"/>
      <c r="AA34" s="38" t="s">
        <v>40</v>
      </c>
      <c r="AB34" s="38"/>
      <c r="AC34" s="38">
        <v>2025</v>
      </c>
      <c r="AD34" s="66" t="s">
        <v>162</v>
      </c>
      <c r="AF34" s="40" t="s">
        <v>127</v>
      </c>
      <c r="AG34" s="38" t="s">
        <v>55</v>
      </c>
      <c r="AH34" s="71">
        <v>0.4876930501930502</v>
      </c>
      <c r="AI34" s="76">
        <v>1010.5</v>
      </c>
      <c r="AJ34" s="75" t="s">
        <v>175</v>
      </c>
      <c r="AK34" s="73">
        <v>2072</v>
      </c>
      <c r="AL34" s="89" t="s">
        <v>183</v>
      </c>
      <c r="AN34" s="40" t="s">
        <v>291</v>
      </c>
      <c r="AO34" s="38" t="s">
        <v>47</v>
      </c>
      <c r="AP34" s="108">
        <v>1.5</v>
      </c>
      <c r="AQ34" s="44">
        <v>2020</v>
      </c>
      <c r="AS34" s="76" t="s">
        <v>141</v>
      </c>
      <c r="AT34" s="38" t="s">
        <v>41</v>
      </c>
      <c r="AU34" s="108">
        <f>VLOOKUP(AT34,'Weekly Wins'!$B$3:$C$1002,2, FALSE)</f>
        <v>1.8166666666666667</v>
      </c>
      <c r="AW34" s="38" t="s">
        <v>215</v>
      </c>
      <c r="AX34" s="136">
        <f t="shared" si="0"/>
        <v>0.6</v>
      </c>
      <c r="AY34" s="38">
        <v>21</v>
      </c>
      <c r="AZ34" s="135" t="s">
        <v>175</v>
      </c>
      <c r="BA34" s="38">
        <v>35</v>
      </c>
      <c r="BB34" s="38">
        <v>2024</v>
      </c>
    </row>
    <row r="35" spans="1:54" x14ac:dyDescent="0.25">
      <c r="A35" s="103"/>
      <c r="B35" s="40" t="s">
        <v>141</v>
      </c>
      <c r="C35" s="38" t="s">
        <v>212</v>
      </c>
      <c r="D35" s="44">
        <f>VLOOKUP(C35,College!$B$5:$E$124,2, FALSE)</f>
        <v>550.5</v>
      </c>
      <c r="F35" s="40" t="s">
        <v>141</v>
      </c>
      <c r="G35" s="38" t="s">
        <v>49</v>
      </c>
      <c r="H35" s="41">
        <f>VLOOKUP(G35,College!$B$5:$E$124,4, FALSE)</f>
        <v>0.48784722222222221</v>
      </c>
      <c r="J35" s="76"/>
      <c r="K35" s="38"/>
      <c r="L35" s="71"/>
      <c r="M35" s="38"/>
      <c r="N35" s="75"/>
      <c r="O35" s="73"/>
      <c r="P35" s="65"/>
      <c r="R35" s="76"/>
      <c r="S35" s="38"/>
      <c r="T35" s="71"/>
      <c r="U35" s="38"/>
      <c r="V35" s="75"/>
      <c r="W35" s="73"/>
      <c r="X35" s="65"/>
      <c r="Z35" s="38"/>
      <c r="AA35" s="38" t="s">
        <v>191</v>
      </c>
      <c r="AB35" s="38"/>
      <c r="AC35" s="38">
        <v>2025</v>
      </c>
      <c r="AD35" s="66" t="s">
        <v>162</v>
      </c>
      <c r="AF35" s="40" t="s">
        <v>128</v>
      </c>
      <c r="AG35" s="90" t="s">
        <v>52</v>
      </c>
      <c r="AH35" s="127">
        <v>0.48762135922330097</v>
      </c>
      <c r="AI35" s="112">
        <v>1004.5</v>
      </c>
      <c r="AJ35" s="91" t="s">
        <v>175</v>
      </c>
      <c r="AK35" s="125">
        <v>2060</v>
      </c>
      <c r="AL35" s="92" t="s">
        <v>222</v>
      </c>
      <c r="AN35" s="40" t="s">
        <v>291</v>
      </c>
      <c r="AO35" s="95" t="s">
        <v>42</v>
      </c>
      <c r="AP35" s="109">
        <v>1.5</v>
      </c>
      <c r="AQ35" s="133">
        <v>2020</v>
      </c>
      <c r="AS35" s="76" t="s">
        <v>142</v>
      </c>
      <c r="AT35" s="38" t="s">
        <v>239</v>
      </c>
      <c r="AU35" s="108">
        <f>VLOOKUP(AT35,'Weekly Wins'!$B$3:$C$1002,2, FALSE)</f>
        <v>1.7928571428571427</v>
      </c>
      <c r="AW35" s="38" t="s">
        <v>44</v>
      </c>
      <c r="AX35" s="136">
        <f t="shared" si="0"/>
        <v>0.6</v>
      </c>
      <c r="AY35" s="76">
        <v>18</v>
      </c>
      <c r="AZ35" s="135" t="s">
        <v>175</v>
      </c>
      <c r="BA35" s="73">
        <v>30</v>
      </c>
      <c r="BB35" s="65">
        <v>2016</v>
      </c>
    </row>
    <row r="36" spans="1:54" x14ac:dyDescent="0.25">
      <c r="A36" s="103"/>
      <c r="B36" s="40" t="s">
        <v>142</v>
      </c>
      <c r="C36" s="38" t="s">
        <v>70</v>
      </c>
      <c r="D36" s="194">
        <f>VLOOKUP(C36,College!$B$5:$E$124,2, FALSE)</f>
        <v>531</v>
      </c>
      <c r="F36" s="40" t="s">
        <v>142</v>
      </c>
      <c r="G36" s="38" t="s">
        <v>36</v>
      </c>
      <c r="H36" s="41">
        <f>VLOOKUP(G36,College!$B$5:$E$124,4, FALSE)</f>
        <v>0.48534653465346533</v>
      </c>
      <c r="J36" s="76"/>
      <c r="K36" s="38"/>
      <c r="L36" s="71"/>
      <c r="M36" s="38"/>
      <c r="N36" s="75"/>
      <c r="O36" s="73"/>
      <c r="P36" s="65"/>
      <c r="R36" s="76"/>
      <c r="S36" s="38"/>
      <c r="T36" s="71"/>
      <c r="U36" s="38"/>
      <c r="V36" s="75"/>
      <c r="W36" s="73"/>
      <c r="X36" s="65"/>
      <c r="Z36" s="38"/>
      <c r="AA36" s="38" t="s">
        <v>39</v>
      </c>
      <c r="AB36" s="38"/>
      <c r="AC36" s="38">
        <v>2025</v>
      </c>
      <c r="AD36" s="66" t="s">
        <v>162</v>
      </c>
      <c r="AF36" s="48"/>
      <c r="AG36" s="46" t="s">
        <v>106</v>
      </c>
      <c r="AH36" s="168">
        <v>0.48732943469785572</v>
      </c>
      <c r="AI36" s="169">
        <v>1000</v>
      </c>
      <c r="AJ36" s="163" t="s">
        <v>175</v>
      </c>
      <c r="AK36" s="170">
        <v>2052</v>
      </c>
      <c r="AL36" s="47" t="s">
        <v>182</v>
      </c>
      <c r="AN36" s="40" t="s">
        <v>291</v>
      </c>
      <c r="AO36" s="38" t="s">
        <v>39</v>
      </c>
      <c r="AP36" s="108">
        <v>1.5</v>
      </c>
      <c r="AQ36" s="44">
        <v>2020</v>
      </c>
      <c r="AS36" s="76" t="s">
        <v>143</v>
      </c>
      <c r="AT36" s="38" t="s">
        <v>38</v>
      </c>
      <c r="AU36" s="108">
        <f>VLOOKUP(AT36,'Weekly Wins'!$B$3:$C$1002,2, FALSE)</f>
        <v>1.6428571428571428</v>
      </c>
      <c r="AW36" s="38" t="s">
        <v>62</v>
      </c>
      <c r="AX36" s="136">
        <f t="shared" si="0"/>
        <v>0.6</v>
      </c>
      <c r="AY36" s="76">
        <v>18</v>
      </c>
      <c r="AZ36" s="135" t="s">
        <v>175</v>
      </c>
      <c r="BA36" s="73">
        <v>30</v>
      </c>
      <c r="BB36" s="65">
        <v>2016</v>
      </c>
    </row>
    <row r="37" spans="1:54" x14ac:dyDescent="0.25">
      <c r="A37" s="103"/>
      <c r="B37" s="40" t="s">
        <v>143</v>
      </c>
      <c r="C37" s="38" t="s">
        <v>214</v>
      </c>
      <c r="D37" s="44">
        <f>VLOOKUP(C37,College!$B$5:$E$124,2, FALSE)</f>
        <v>515.5</v>
      </c>
      <c r="F37" s="40" t="s">
        <v>143</v>
      </c>
      <c r="G37" s="38" t="s">
        <v>52</v>
      </c>
      <c r="H37" s="41">
        <f>VLOOKUP(G37,College!$B$5:$E$124,4, FALSE)</f>
        <v>0.48470209339774556</v>
      </c>
      <c r="J37" s="76"/>
      <c r="K37" s="38"/>
      <c r="L37" s="71"/>
      <c r="M37" s="38"/>
      <c r="N37" s="75"/>
      <c r="O37" s="73"/>
      <c r="P37" s="65"/>
      <c r="R37" s="76"/>
      <c r="S37" s="38"/>
      <c r="T37" s="71"/>
      <c r="U37" s="38"/>
      <c r="V37" s="75"/>
      <c r="W37" s="73"/>
      <c r="X37" s="65"/>
      <c r="Z37" s="38"/>
      <c r="AA37" s="38" t="s">
        <v>59</v>
      </c>
      <c r="AB37" s="38"/>
      <c r="AC37" s="38">
        <v>2025</v>
      </c>
      <c r="AD37" s="66" t="s">
        <v>162</v>
      </c>
      <c r="AF37" s="148" t="s">
        <v>129</v>
      </c>
      <c r="AG37" s="95" t="s">
        <v>56</v>
      </c>
      <c r="AH37" s="128">
        <v>0.48672779922779924</v>
      </c>
      <c r="AI37" s="94">
        <v>1008.5</v>
      </c>
      <c r="AJ37" s="129" t="s">
        <v>175</v>
      </c>
      <c r="AK37" s="130">
        <v>2072</v>
      </c>
      <c r="AL37" s="89" t="s">
        <v>183</v>
      </c>
      <c r="AN37" s="131" t="s">
        <v>291</v>
      </c>
      <c r="AO37" s="95" t="s">
        <v>44</v>
      </c>
      <c r="AP37" s="109">
        <v>1.5</v>
      </c>
      <c r="AQ37" s="133">
        <v>2018</v>
      </c>
      <c r="AS37" s="76" t="s">
        <v>144</v>
      </c>
      <c r="AT37" s="38" t="s">
        <v>253</v>
      </c>
      <c r="AU37" s="108">
        <f>VLOOKUP(AT37,'Weekly Wins'!$B$3:$C$1002,2, FALSE)</f>
        <v>1.5</v>
      </c>
      <c r="AW37" s="38" t="s">
        <v>56</v>
      </c>
      <c r="AX37" s="136">
        <f t="shared" si="0"/>
        <v>0.6</v>
      </c>
      <c r="AY37" s="76">
        <v>18</v>
      </c>
      <c r="AZ37" s="135" t="s">
        <v>175</v>
      </c>
      <c r="BA37" s="73">
        <v>30</v>
      </c>
      <c r="BB37" s="65">
        <v>2015</v>
      </c>
    </row>
    <row r="38" spans="1:54" x14ac:dyDescent="0.25">
      <c r="A38" s="103"/>
      <c r="B38" s="40" t="s">
        <v>144</v>
      </c>
      <c r="C38" s="38" t="s">
        <v>198</v>
      </c>
      <c r="D38" s="238">
        <f>VLOOKUP(C38,College!$B$5:$E$124,2, FALSE)</f>
        <v>505.5</v>
      </c>
      <c r="F38" s="40" t="s">
        <v>144</v>
      </c>
      <c r="G38" s="38" t="s">
        <v>79</v>
      </c>
      <c r="H38" s="41">
        <f>VLOOKUP(G38,College!$B$5:$E$124,4, FALSE)</f>
        <v>0.48448275862068968</v>
      </c>
      <c r="J38" s="94"/>
      <c r="K38" s="95"/>
      <c r="L38" s="128"/>
      <c r="M38" s="95"/>
      <c r="N38" s="129"/>
      <c r="O38" s="130"/>
      <c r="P38" s="96"/>
      <c r="R38" s="76"/>
      <c r="S38" s="38"/>
      <c r="T38" s="71"/>
      <c r="U38" s="38"/>
      <c r="V38" s="75"/>
      <c r="W38" s="73"/>
      <c r="X38" s="65"/>
      <c r="AF38" s="40" t="s">
        <v>130</v>
      </c>
      <c r="AG38" s="38" t="s">
        <v>61</v>
      </c>
      <c r="AH38" s="71">
        <v>0.48665048543689321</v>
      </c>
      <c r="AI38" s="76">
        <v>1002.5</v>
      </c>
      <c r="AJ38" s="75" t="s">
        <v>175</v>
      </c>
      <c r="AK38" s="73">
        <v>2060</v>
      </c>
      <c r="AL38" s="89" t="s">
        <v>257</v>
      </c>
      <c r="AN38" s="40" t="s">
        <v>291</v>
      </c>
      <c r="AO38" s="38" t="s">
        <v>56</v>
      </c>
      <c r="AP38" s="108">
        <v>1.5</v>
      </c>
      <c r="AQ38" s="44">
        <v>2016</v>
      </c>
      <c r="AS38" s="76" t="s">
        <v>145</v>
      </c>
      <c r="AT38" s="38" t="s">
        <v>76</v>
      </c>
      <c r="AU38" s="108">
        <f>VLOOKUP(AT38,'Weekly Wins'!$B$3:$C$1002,2, FALSE)</f>
        <v>1.4761904761904761</v>
      </c>
      <c r="AW38" s="38" t="s">
        <v>39</v>
      </c>
      <c r="AX38" s="136">
        <f t="shared" si="0"/>
        <v>0.59375</v>
      </c>
      <c r="AY38" s="76">
        <v>19</v>
      </c>
      <c r="AZ38" s="135" t="s">
        <v>175</v>
      </c>
      <c r="BA38" s="73">
        <v>32</v>
      </c>
      <c r="BB38" s="65">
        <v>2023</v>
      </c>
    </row>
    <row r="39" spans="1:54" ht="15.75" thickBot="1" x14ac:dyDescent="0.3">
      <c r="A39" s="103"/>
      <c r="B39" s="40" t="s">
        <v>391</v>
      </c>
      <c r="C39" s="38" t="s">
        <v>78</v>
      </c>
      <c r="D39" s="194">
        <f>VLOOKUP(C39,College!$B$5:$E$124,2, FALSE)</f>
        <v>487</v>
      </c>
      <c r="F39" s="40" t="s">
        <v>145</v>
      </c>
      <c r="G39" s="38" t="s">
        <v>56</v>
      </c>
      <c r="H39" s="41">
        <f>VLOOKUP(G39,College!$B$5:$E$124,4, FALSE)</f>
        <v>0.48292329956584662</v>
      </c>
      <c r="L39" s="51"/>
      <c r="M39" s="9"/>
      <c r="N39" s="9"/>
      <c r="O39" s="9"/>
      <c r="AF39" s="156" t="s">
        <v>131</v>
      </c>
      <c r="AG39" s="164" t="s">
        <v>62</v>
      </c>
      <c r="AH39" s="167">
        <v>0.46971830985915491</v>
      </c>
      <c r="AI39" s="160">
        <v>1000.5</v>
      </c>
      <c r="AJ39" s="165" t="s">
        <v>175</v>
      </c>
      <c r="AK39" s="149">
        <v>2130</v>
      </c>
      <c r="AL39" s="166" t="s">
        <v>258</v>
      </c>
      <c r="AN39" s="42" t="s">
        <v>291</v>
      </c>
      <c r="AO39" s="43" t="s">
        <v>68</v>
      </c>
      <c r="AP39" s="134">
        <v>1.5</v>
      </c>
      <c r="AQ39" s="45">
        <v>2015</v>
      </c>
      <c r="AS39" s="76" t="s">
        <v>146</v>
      </c>
      <c r="AT39" s="38" t="s">
        <v>82</v>
      </c>
      <c r="AU39" s="108">
        <f>VLOOKUP(AT39,'Weekly Wins'!$B$3:$C$1002,2, FALSE)</f>
        <v>1.3333333333333333</v>
      </c>
      <c r="AW39" s="38" t="s">
        <v>62</v>
      </c>
      <c r="AX39" s="136">
        <f t="shared" si="0"/>
        <v>0.59375</v>
      </c>
      <c r="AY39" s="76">
        <v>19</v>
      </c>
      <c r="AZ39" s="135" t="s">
        <v>175</v>
      </c>
      <c r="BA39" s="73">
        <v>32</v>
      </c>
      <c r="BB39" s="65">
        <v>2023</v>
      </c>
    </row>
    <row r="40" spans="1:54" x14ac:dyDescent="0.25">
      <c r="A40" s="103"/>
      <c r="B40" s="40" t="s">
        <v>391</v>
      </c>
      <c r="C40" s="38" t="s">
        <v>68</v>
      </c>
      <c r="D40" s="225">
        <f>VLOOKUP(C40,College!$B$5:$E$124,2, FALSE)</f>
        <v>487</v>
      </c>
      <c r="F40" s="40" t="s">
        <v>146</v>
      </c>
      <c r="G40" s="38" t="s">
        <v>196</v>
      </c>
      <c r="H40" s="41">
        <f>VLOOKUP(G40,College!$B$5:$E$124,4, FALSE)</f>
        <v>0.4826568265682657</v>
      </c>
      <c r="L40" s="51"/>
      <c r="M40" s="9"/>
      <c r="N40" s="9"/>
      <c r="O40" s="9"/>
      <c r="AF40" s="94"/>
      <c r="AG40" s="95" t="s">
        <v>41</v>
      </c>
      <c r="AH40" s="128">
        <f>AI40/AK40</f>
        <v>0.48860398860398863</v>
      </c>
      <c r="AI40" s="226">
        <f>VLOOKUP(AG40,College!$B$2:$H$1007,2, FALSE)</f>
        <v>857.5</v>
      </c>
      <c r="AJ40" s="129" t="s">
        <v>175</v>
      </c>
      <c r="AK40" s="226">
        <f>VLOOKUP(AG40,College!$B$2:$H$1007,3, FALSE)</f>
        <v>1755</v>
      </c>
      <c r="AL40" s="158" t="s">
        <v>283</v>
      </c>
      <c r="AN40" s="94"/>
      <c r="AO40" s="95" t="s">
        <v>76</v>
      </c>
      <c r="AP40" s="109">
        <v>1.4761904761904761</v>
      </c>
      <c r="AQ40" s="96">
        <v>2017</v>
      </c>
      <c r="AS40" s="76" t="s">
        <v>147</v>
      </c>
      <c r="AT40" s="38" t="s">
        <v>67</v>
      </c>
      <c r="AU40" s="108">
        <f>VLOOKUP(AT40,'Weekly Wins'!$B$3:$C$1002,2, FALSE)</f>
        <v>1</v>
      </c>
      <c r="AW40" s="38" t="s">
        <v>42</v>
      </c>
      <c r="AX40" s="136">
        <f t="shared" si="0"/>
        <v>0.59375</v>
      </c>
      <c r="AY40" s="76">
        <v>19</v>
      </c>
      <c r="AZ40" s="135" t="s">
        <v>175</v>
      </c>
      <c r="BA40" s="73">
        <v>32</v>
      </c>
      <c r="BB40" s="65">
        <v>2022</v>
      </c>
    </row>
    <row r="41" spans="1:54" x14ac:dyDescent="0.25">
      <c r="A41" s="103"/>
      <c r="B41" s="40" t="s">
        <v>147</v>
      </c>
      <c r="C41" s="38" t="s">
        <v>224</v>
      </c>
      <c r="D41" s="44">
        <f>VLOOKUP(C41,College!$B$5:$E$124,2, FALSE)</f>
        <v>484.5</v>
      </c>
      <c r="F41" s="40" t="s">
        <v>147</v>
      </c>
      <c r="G41" s="38" t="s">
        <v>194</v>
      </c>
      <c r="H41" s="41">
        <f>VLOOKUP(G41,College!$B$5:$E$124,4, FALSE)</f>
        <v>0.4826568265682657</v>
      </c>
      <c r="L41" s="51"/>
      <c r="M41" s="9"/>
      <c r="N41" s="9"/>
      <c r="O41" s="9"/>
      <c r="AF41" s="94"/>
      <c r="AG41" s="95" t="s">
        <v>251</v>
      </c>
      <c r="AH41" s="128">
        <f>AI41/AK41</f>
        <v>0.49509483322432962</v>
      </c>
      <c r="AI41" s="157">
        <f>VLOOKUP(AG41,College!$B$2:$H$1007,2, FALSE)</f>
        <v>757</v>
      </c>
      <c r="AJ41" s="129" t="s">
        <v>175</v>
      </c>
      <c r="AK41" s="157">
        <f>VLOOKUP(AG41,College!$B$2:$H$1007,3, FALSE)</f>
        <v>1529</v>
      </c>
      <c r="AL41" s="158" t="s">
        <v>283</v>
      </c>
      <c r="AN41" s="76"/>
      <c r="AO41" s="38" t="s">
        <v>239</v>
      </c>
      <c r="AP41" s="132">
        <v>1.45</v>
      </c>
      <c r="AQ41" s="65">
        <v>2025</v>
      </c>
      <c r="AS41" s="76" t="s">
        <v>148</v>
      </c>
      <c r="AT41" s="38" t="s">
        <v>75</v>
      </c>
      <c r="AU41" s="108">
        <f>VLOOKUP(AT41,'Weekly Wins'!$B$3:$C$1002,2, FALSE)</f>
        <v>1</v>
      </c>
      <c r="AW41" s="38" t="s">
        <v>47</v>
      </c>
      <c r="AX41" s="136">
        <f t="shared" si="0"/>
        <v>0.59375</v>
      </c>
      <c r="AY41" s="76">
        <v>19</v>
      </c>
      <c r="AZ41" s="135" t="s">
        <v>175</v>
      </c>
      <c r="BA41" s="73">
        <v>32</v>
      </c>
      <c r="BB41" s="65">
        <v>2021</v>
      </c>
    </row>
    <row r="42" spans="1:54" x14ac:dyDescent="0.25">
      <c r="A42" s="103"/>
      <c r="B42" s="40" t="s">
        <v>148</v>
      </c>
      <c r="C42" s="38" t="s">
        <v>216</v>
      </c>
      <c r="D42" s="44">
        <f>VLOOKUP(C42,College!$B$5:$E$124,2, FALSE)</f>
        <v>479.5</v>
      </c>
      <c r="F42" s="40" t="s">
        <v>148</v>
      </c>
      <c r="G42" s="38" t="s">
        <v>269</v>
      </c>
      <c r="H42" s="41">
        <f>VLOOKUP(G42,College!$B$5:$E$124,4, FALSE)</f>
        <v>0.48172043010752691</v>
      </c>
      <c r="L42" s="51"/>
      <c r="M42" s="9"/>
      <c r="N42" s="9"/>
      <c r="O42" s="9"/>
      <c r="AN42" s="76"/>
      <c r="AO42" s="38" t="s">
        <v>59</v>
      </c>
      <c r="AP42" s="132">
        <v>1.4</v>
      </c>
      <c r="AQ42" s="65">
        <v>2025</v>
      </c>
      <c r="AS42" s="76" t="s">
        <v>149</v>
      </c>
      <c r="AT42" s="38" t="s">
        <v>213</v>
      </c>
      <c r="AU42" s="108">
        <f>VLOOKUP(AT42,'Weekly Wins'!$B$3:$C$1002,2, FALSE)</f>
        <v>1</v>
      </c>
      <c r="AW42" s="38" t="s">
        <v>59</v>
      </c>
      <c r="AX42" s="136">
        <f t="shared" si="0"/>
        <v>0.58823529411764708</v>
      </c>
      <c r="AY42" s="76">
        <v>20</v>
      </c>
      <c r="AZ42" s="135" t="s">
        <v>175</v>
      </c>
      <c r="BA42" s="73">
        <v>34</v>
      </c>
      <c r="BB42" s="65">
        <v>2019</v>
      </c>
    </row>
    <row r="43" spans="1:54" x14ac:dyDescent="0.25">
      <c r="A43" s="103"/>
      <c r="B43" s="40" t="s">
        <v>149</v>
      </c>
      <c r="C43" s="38" t="s">
        <v>239</v>
      </c>
      <c r="D43" s="44">
        <f>VLOOKUP(C43,College!$B$5:$E$124,2, FALSE)</f>
        <v>391.5</v>
      </c>
      <c r="F43" s="40" t="s">
        <v>149</v>
      </c>
      <c r="G43" s="38" t="s">
        <v>253</v>
      </c>
      <c r="H43" s="41">
        <f>VLOOKUP(G43,College!$B$5:$E$124,4, FALSE)</f>
        <v>0.48163265306122449</v>
      </c>
      <c r="L43" s="51"/>
      <c r="M43" s="9"/>
      <c r="N43" s="9"/>
      <c r="O43" s="9"/>
      <c r="AN43" s="76"/>
      <c r="AO43" s="38" t="s">
        <v>57</v>
      </c>
      <c r="AP43" s="108">
        <v>1.3333333333333333</v>
      </c>
      <c r="AQ43" s="65">
        <v>2022</v>
      </c>
      <c r="AS43" s="76" t="s">
        <v>150</v>
      </c>
      <c r="AT43" s="38" t="s">
        <v>269</v>
      </c>
      <c r="AU43" s="108">
        <f>VLOOKUP(AT43,'Weekly Wins'!$B$3:$C$1002,2, FALSE)</f>
        <v>1</v>
      </c>
      <c r="AW43" s="38" t="s">
        <v>46</v>
      </c>
      <c r="AX43" s="136">
        <f t="shared" si="0"/>
        <v>0.58571428571428574</v>
      </c>
      <c r="AY43" s="38">
        <v>20.5</v>
      </c>
      <c r="AZ43" s="135" t="s">
        <v>175</v>
      </c>
      <c r="BA43" s="38">
        <v>35</v>
      </c>
      <c r="BB43" s="38">
        <v>2024</v>
      </c>
    </row>
    <row r="44" spans="1:54" x14ac:dyDescent="0.25">
      <c r="A44" s="103"/>
      <c r="B44" s="40" t="s">
        <v>150</v>
      </c>
      <c r="C44" s="38" t="s">
        <v>67</v>
      </c>
      <c r="D44" s="194">
        <f>VLOOKUP(C44,College!$B$5:$E$124,2, FALSE)</f>
        <v>361</v>
      </c>
      <c r="F44" s="40" t="s">
        <v>150</v>
      </c>
      <c r="G44" s="38" t="s">
        <v>61</v>
      </c>
      <c r="H44" s="41">
        <f>VLOOKUP(G44,College!$B$5:$E$124,4, FALSE)</f>
        <v>0.48043875685557585</v>
      </c>
      <c r="L44" s="51"/>
      <c r="M44" s="9"/>
      <c r="N44" s="9"/>
      <c r="O44" s="9"/>
      <c r="AN44" s="76"/>
      <c r="AO44" s="38" t="s">
        <v>42</v>
      </c>
      <c r="AP44" s="108">
        <v>1.3333333333333333</v>
      </c>
      <c r="AQ44" s="65">
        <v>2022</v>
      </c>
      <c r="AS44" s="76" t="s">
        <v>151</v>
      </c>
      <c r="AT44" s="38" t="s">
        <v>196</v>
      </c>
      <c r="AU44" s="108">
        <f>VLOOKUP(AT44,'Weekly Wins'!$B$3:$C$1002,2, FALSE)</f>
        <v>0.84285714285714275</v>
      </c>
      <c r="AW44" s="38" t="s">
        <v>239</v>
      </c>
      <c r="AX44" s="136">
        <f t="shared" si="0"/>
        <v>0.58571428571428574</v>
      </c>
      <c r="AY44" s="38">
        <v>20.5</v>
      </c>
      <c r="AZ44" s="135" t="s">
        <v>175</v>
      </c>
      <c r="BA44" s="38">
        <v>35</v>
      </c>
      <c r="BB44" s="38">
        <v>2024</v>
      </c>
    </row>
    <row r="45" spans="1:54" x14ac:dyDescent="0.25">
      <c r="A45" s="103"/>
      <c r="B45" s="40" t="s">
        <v>151</v>
      </c>
      <c r="C45" s="38" t="s">
        <v>253</v>
      </c>
      <c r="D45" s="44">
        <f>VLOOKUP(C45,College!$B$5:$E$124,2, FALSE)</f>
        <v>354</v>
      </c>
      <c r="F45" s="40" t="s">
        <v>151</v>
      </c>
      <c r="G45" s="38" t="s">
        <v>198</v>
      </c>
      <c r="H45" s="41">
        <f>VLOOKUP(G45,College!$B$5:$E$124,4, FALSE)</f>
        <v>0.48005698005698005</v>
      </c>
      <c r="L45" s="51"/>
      <c r="M45" s="9"/>
      <c r="N45" s="9"/>
      <c r="O45" s="9"/>
      <c r="AN45" s="76"/>
      <c r="AO45" s="38" t="s">
        <v>46</v>
      </c>
      <c r="AP45" s="108">
        <v>1.3333333333333333</v>
      </c>
      <c r="AQ45" s="65">
        <v>2022</v>
      </c>
      <c r="AS45" s="76" t="s">
        <v>152</v>
      </c>
      <c r="AT45" s="38" t="s">
        <v>214</v>
      </c>
      <c r="AU45" s="108">
        <f>VLOOKUP(AT45,'Weekly Wins'!$B$3:$C$1002,2, FALSE)</f>
        <v>0.83333333333333326</v>
      </c>
      <c r="AW45" s="38" t="s">
        <v>55</v>
      </c>
      <c r="AX45" s="136">
        <f t="shared" si="0"/>
        <v>0.578125</v>
      </c>
      <c r="AY45" s="76">
        <v>18.5</v>
      </c>
      <c r="AZ45" s="135" t="s">
        <v>175</v>
      </c>
      <c r="BA45" s="73">
        <v>32</v>
      </c>
      <c r="BB45" s="65">
        <v>2023</v>
      </c>
    </row>
    <row r="46" spans="1:54" x14ac:dyDescent="0.25">
      <c r="A46" s="103"/>
      <c r="B46" s="40" t="s">
        <v>152</v>
      </c>
      <c r="C46" s="38" t="s">
        <v>215</v>
      </c>
      <c r="D46" s="194">
        <f>VLOOKUP(C46,College!$B$5:$E$124,2, FALSE)</f>
        <v>303.5</v>
      </c>
      <c r="F46" s="40" t="s">
        <v>152</v>
      </c>
      <c r="G46" s="38" t="s">
        <v>75</v>
      </c>
      <c r="H46" s="41">
        <f>VLOOKUP(G46,College!$B$5:$E$124,4, FALSE)</f>
        <v>0.47931034482758622</v>
      </c>
      <c r="L46" s="51"/>
      <c r="M46" s="9"/>
      <c r="N46" s="9"/>
      <c r="O46" s="9"/>
      <c r="AN46" s="76"/>
      <c r="AO46" s="38" t="s">
        <v>55</v>
      </c>
      <c r="AP46" s="108">
        <v>1.3333333333333333</v>
      </c>
      <c r="AQ46" s="65">
        <v>2020</v>
      </c>
      <c r="AS46" s="76" t="s">
        <v>153</v>
      </c>
      <c r="AT46" s="38" t="s">
        <v>51</v>
      </c>
      <c r="AU46" s="108">
        <f>VLOOKUP(AT46,'Weekly Wins'!$B$3:$C$1002,2, FALSE)</f>
        <v>0.625</v>
      </c>
      <c r="AW46" s="38" t="s">
        <v>59</v>
      </c>
      <c r="AX46" s="136">
        <f t="shared" si="0"/>
        <v>0.578125</v>
      </c>
      <c r="AY46" s="76">
        <v>18.5</v>
      </c>
      <c r="AZ46" s="135" t="s">
        <v>175</v>
      </c>
      <c r="BA46" s="73">
        <v>32</v>
      </c>
      <c r="BB46" s="65">
        <v>2023</v>
      </c>
    </row>
    <row r="47" spans="1:54" x14ac:dyDescent="0.25">
      <c r="A47" s="103"/>
      <c r="B47" s="40" t="s">
        <v>153</v>
      </c>
      <c r="C47" s="38" t="s">
        <v>213</v>
      </c>
      <c r="D47" s="44">
        <f>VLOOKUP(C47,College!$B$5:$E$124,2, FALSE)</f>
        <v>293</v>
      </c>
      <c r="F47" s="40" t="s">
        <v>153</v>
      </c>
      <c r="G47" s="38" t="s">
        <v>62</v>
      </c>
      <c r="H47" s="41">
        <f>VLOOKUP(G47,College!$B$5:$E$124,4, FALSE)</f>
        <v>0.47879924953095687</v>
      </c>
      <c r="L47" s="51"/>
      <c r="M47" s="9"/>
      <c r="N47" s="9"/>
      <c r="O47" s="9"/>
      <c r="AN47" s="76"/>
      <c r="AO47" s="38" t="s">
        <v>61</v>
      </c>
      <c r="AP47" s="108">
        <v>1.3333333333333333</v>
      </c>
      <c r="AQ47" s="65">
        <v>2020</v>
      </c>
      <c r="AS47" s="76" t="s">
        <v>154</v>
      </c>
      <c r="AT47" s="38" t="s">
        <v>190</v>
      </c>
      <c r="AU47" s="108">
        <f>VLOOKUP(AT47,'Weekly Wins'!$B$3:$C$1002,2, FALSE)</f>
        <v>0.58333333333333326</v>
      </c>
      <c r="AW47" s="38" t="s">
        <v>61</v>
      </c>
      <c r="AX47" s="136">
        <f t="shared" si="0"/>
        <v>0.578125</v>
      </c>
      <c r="AY47" s="76">
        <v>18.5</v>
      </c>
      <c r="AZ47" s="135" t="s">
        <v>175</v>
      </c>
      <c r="BA47" s="73">
        <v>32</v>
      </c>
      <c r="BB47" s="65">
        <v>2023</v>
      </c>
    </row>
    <row r="48" spans="1:54" x14ac:dyDescent="0.25">
      <c r="A48" s="103"/>
      <c r="B48" s="40" t="s">
        <v>154</v>
      </c>
      <c r="C48" s="38" t="s">
        <v>75</v>
      </c>
      <c r="D48" s="194">
        <f>VLOOKUP(C48,College!$B$5:$E$124,2, FALSE)</f>
        <v>278</v>
      </c>
      <c r="F48" s="40" t="s">
        <v>154</v>
      </c>
      <c r="G48" s="38" t="s">
        <v>68</v>
      </c>
      <c r="H48" s="41">
        <f>VLOOKUP(G48,College!$B$5:$E$124,4, FALSE)</f>
        <v>0.47791952894995093</v>
      </c>
      <c r="L48" s="51"/>
      <c r="M48" s="9"/>
      <c r="N48" s="9"/>
      <c r="O48" s="9"/>
      <c r="AN48" s="76"/>
      <c r="AO48" s="38" t="s">
        <v>55</v>
      </c>
      <c r="AP48" s="108">
        <v>1.3333333333333333</v>
      </c>
      <c r="AQ48" s="65">
        <v>2018</v>
      </c>
      <c r="AS48" s="76" t="s">
        <v>248</v>
      </c>
      <c r="AT48" s="38" t="s">
        <v>79</v>
      </c>
      <c r="AU48" s="108">
        <f>VLOOKUP(AT48,'Weekly Wins'!$B$3:$C$1002,2, FALSE)</f>
        <v>0.5</v>
      </c>
      <c r="AW48" s="38" t="s">
        <v>75</v>
      </c>
      <c r="AX48" s="136">
        <f t="shared" si="0"/>
        <v>0.578125</v>
      </c>
      <c r="AY48" s="76">
        <v>18.5</v>
      </c>
      <c r="AZ48" s="135" t="s">
        <v>175</v>
      </c>
      <c r="BA48" s="73">
        <v>32</v>
      </c>
      <c r="BB48" s="65">
        <v>2018</v>
      </c>
    </row>
    <row r="49" spans="1:54" x14ac:dyDescent="0.25">
      <c r="A49" s="103"/>
      <c r="B49" s="40" t="s">
        <v>248</v>
      </c>
      <c r="C49" s="38" t="s">
        <v>82</v>
      </c>
      <c r="D49" s="194">
        <f>VLOOKUP(C49,College!$B$5:$E$124,2, FALSE)</f>
        <v>272</v>
      </c>
      <c r="F49" s="40" t="s">
        <v>248</v>
      </c>
      <c r="G49" s="38" t="s">
        <v>268</v>
      </c>
      <c r="H49" s="41">
        <f>VLOOKUP(G49,College!$B$5:$E$124,4, FALSE)</f>
        <v>0.47741935483870968</v>
      </c>
      <c r="L49" s="51"/>
      <c r="M49" s="9"/>
      <c r="N49" s="9"/>
      <c r="O49" s="9"/>
      <c r="AN49" s="76"/>
      <c r="AO49" s="38" t="s">
        <v>41</v>
      </c>
      <c r="AP49" s="108">
        <v>1.25</v>
      </c>
      <c r="AQ49" s="65">
        <v>2024</v>
      </c>
      <c r="AS49" s="76" t="s">
        <v>155</v>
      </c>
      <c r="AT49" s="38" t="s">
        <v>105</v>
      </c>
      <c r="AU49" s="108">
        <f>VLOOKUP(AT49,'Weekly Wins'!$B$3:$C$1002,2, FALSE)</f>
        <v>0.5</v>
      </c>
      <c r="AW49" s="38" t="s">
        <v>52</v>
      </c>
      <c r="AX49" s="136">
        <f t="shared" si="0"/>
        <v>0.578125</v>
      </c>
      <c r="AY49" s="76">
        <v>18.5</v>
      </c>
      <c r="AZ49" s="135" t="s">
        <v>175</v>
      </c>
      <c r="BA49" s="73">
        <v>32</v>
      </c>
      <c r="BB49" s="65">
        <v>2017</v>
      </c>
    </row>
    <row r="50" spans="1:54" x14ac:dyDescent="0.25">
      <c r="A50" s="103"/>
      <c r="B50" s="40" t="s">
        <v>155</v>
      </c>
      <c r="C50" s="38" t="s">
        <v>37</v>
      </c>
      <c r="D50" s="194">
        <f>VLOOKUP(C50,College!$B$5:$E$124,2, FALSE)</f>
        <v>265</v>
      </c>
      <c r="F50" s="40" t="s">
        <v>155</v>
      </c>
      <c r="G50" s="38" t="s">
        <v>195</v>
      </c>
      <c r="H50" s="41">
        <f>VLOOKUP(G50,College!$B$5:$E$124,4, FALSE)</f>
        <v>0.47680608365019012</v>
      </c>
      <c r="AN50" s="76"/>
      <c r="AO50" s="38" t="s">
        <v>53</v>
      </c>
      <c r="AP50" s="132">
        <v>1.25</v>
      </c>
      <c r="AQ50" s="65">
        <v>2023</v>
      </c>
      <c r="AS50" s="76" t="s">
        <v>156</v>
      </c>
      <c r="AT50" s="38" t="s">
        <v>195</v>
      </c>
      <c r="AU50" s="108">
        <f>VLOOKUP(AT50,'Weekly Wins'!$B$3:$C$1002,2, FALSE)</f>
        <v>0.5</v>
      </c>
      <c r="AW50" s="38" t="s">
        <v>45</v>
      </c>
      <c r="AX50" s="175">
        <f t="shared" si="0"/>
        <v>0.5714285714285714</v>
      </c>
      <c r="AY50" s="38">
        <v>20</v>
      </c>
      <c r="AZ50" s="135" t="s">
        <v>175</v>
      </c>
      <c r="BA50" s="73">
        <v>35</v>
      </c>
      <c r="BB50" s="65">
        <v>2025</v>
      </c>
    </row>
    <row r="51" spans="1:54" x14ac:dyDescent="0.25">
      <c r="A51" s="103"/>
      <c r="B51" s="40" t="s">
        <v>156</v>
      </c>
      <c r="C51" s="90" t="s">
        <v>240</v>
      </c>
      <c r="D51" s="102">
        <f>VLOOKUP(C51,College!$B$5:$E$124,2, FALSE)</f>
        <v>245</v>
      </c>
      <c r="F51" s="40" t="s">
        <v>156</v>
      </c>
      <c r="G51" s="90" t="s">
        <v>72</v>
      </c>
      <c r="H51" s="104">
        <f>VLOOKUP(G51,College!$B$5:$E$124,4, FALSE)</f>
        <v>0.47285714285714286</v>
      </c>
      <c r="AN51" s="76"/>
      <c r="AO51" s="38" t="s">
        <v>50</v>
      </c>
      <c r="AP51" s="108">
        <v>1.25</v>
      </c>
      <c r="AQ51" s="65">
        <v>2022</v>
      </c>
      <c r="AS51" s="76" t="s">
        <v>199</v>
      </c>
      <c r="AT51" s="38" t="s">
        <v>52</v>
      </c>
      <c r="AU51" s="108">
        <f>VLOOKUP(AT51,'Weekly Wins'!$B$3:$C$1002,2, FALSE)</f>
        <v>0.375</v>
      </c>
      <c r="AW51" s="38" t="s">
        <v>224</v>
      </c>
      <c r="AX51" s="175">
        <f t="shared" si="0"/>
        <v>0.5714285714285714</v>
      </c>
      <c r="AY51" s="38">
        <v>20</v>
      </c>
      <c r="AZ51" s="135" t="s">
        <v>175</v>
      </c>
      <c r="BA51" s="73">
        <v>35</v>
      </c>
      <c r="BB51" s="65">
        <v>2025</v>
      </c>
    </row>
    <row r="52" spans="1:54" x14ac:dyDescent="0.25">
      <c r="A52" s="103"/>
      <c r="B52" s="40" t="s">
        <v>199</v>
      </c>
      <c r="C52" s="38" t="s">
        <v>269</v>
      </c>
      <c r="D52" s="102">
        <f>VLOOKUP(C52,College!$B$5:$E$124,2, FALSE)</f>
        <v>224</v>
      </c>
      <c r="F52" s="40" t="s">
        <v>199</v>
      </c>
      <c r="G52" s="38" t="s">
        <v>213</v>
      </c>
      <c r="H52" s="104">
        <f>VLOOKUP(G52,College!$B$5:$E$124,4, FALSE)</f>
        <v>0.46879999999999999</v>
      </c>
      <c r="AN52" s="76"/>
      <c r="AO52" s="38" t="s">
        <v>61</v>
      </c>
      <c r="AP52" s="108">
        <v>1.25</v>
      </c>
      <c r="AQ52" s="65">
        <v>2019</v>
      </c>
      <c r="AS52" s="76" t="s">
        <v>200</v>
      </c>
      <c r="AT52" s="38" t="s">
        <v>77</v>
      </c>
      <c r="AU52" s="108">
        <f>VLOOKUP(AT52,'Weekly Wins'!$B$3:$C$1002,2, FALSE)</f>
        <v>0.33333333333333331</v>
      </c>
      <c r="AW52" s="38" t="s">
        <v>46</v>
      </c>
      <c r="AX52" s="175">
        <f t="shared" si="0"/>
        <v>0.5714285714285714</v>
      </c>
      <c r="AY52" s="38">
        <v>20</v>
      </c>
      <c r="AZ52" s="135" t="s">
        <v>175</v>
      </c>
      <c r="BA52" s="73">
        <v>35</v>
      </c>
      <c r="BB52" s="65">
        <v>2025</v>
      </c>
    </row>
    <row r="53" spans="1:54" x14ac:dyDescent="0.25">
      <c r="A53" s="103"/>
      <c r="B53" s="40" t="s">
        <v>200</v>
      </c>
      <c r="C53" s="38" t="s">
        <v>268</v>
      </c>
      <c r="D53" s="102">
        <f>VLOOKUP(C53,College!$B$5:$E$124,2, FALSE)</f>
        <v>222</v>
      </c>
      <c r="F53" s="40" t="s">
        <v>200</v>
      </c>
      <c r="G53" s="38" t="s">
        <v>66</v>
      </c>
      <c r="H53" s="41">
        <f>VLOOKUP(G53,College!$B$5:$E$124,4, FALSE)</f>
        <v>0.46842105263157896</v>
      </c>
      <c r="AN53" s="76"/>
      <c r="AO53" s="38" t="s">
        <v>66</v>
      </c>
      <c r="AP53" s="108">
        <v>1.25</v>
      </c>
      <c r="AQ53" s="65">
        <v>2019</v>
      </c>
      <c r="AS53" s="76" t="s">
        <v>249</v>
      </c>
      <c r="AT53" s="38" t="s">
        <v>216</v>
      </c>
      <c r="AU53" s="108">
        <f>VLOOKUP(AT53,'Weekly Wins'!$B$3:$C$1002,2, FALSE)</f>
        <v>0.25</v>
      </c>
      <c r="AW53" s="38" t="s">
        <v>51</v>
      </c>
      <c r="AX53" s="175">
        <f t="shared" si="0"/>
        <v>0.5714285714285714</v>
      </c>
      <c r="AY53" s="38">
        <v>20</v>
      </c>
      <c r="AZ53" s="135" t="s">
        <v>175</v>
      </c>
      <c r="BA53" s="73">
        <v>35</v>
      </c>
      <c r="BB53" s="65">
        <v>2025</v>
      </c>
    </row>
    <row r="54" spans="1:54" x14ac:dyDescent="0.25">
      <c r="A54" s="103"/>
      <c r="B54" s="40" t="s">
        <v>249</v>
      </c>
      <c r="C54" s="38" t="s">
        <v>76</v>
      </c>
      <c r="D54" s="195">
        <f>VLOOKUP(C54,College!$B$5:$E$124,2, FALSE)</f>
        <v>218.5</v>
      </c>
      <c r="F54" s="40" t="s">
        <v>249</v>
      </c>
      <c r="G54" s="38" t="s">
        <v>38</v>
      </c>
      <c r="H54" s="41">
        <f>VLOOKUP(G54,College!$B$5:$E$124,4, FALSE)</f>
        <v>0.46838709677419355</v>
      </c>
      <c r="AN54" s="76"/>
      <c r="AO54" s="38" t="s">
        <v>212</v>
      </c>
      <c r="AP54" s="108">
        <v>1.2</v>
      </c>
      <c r="AQ54" s="65">
        <v>2024</v>
      </c>
      <c r="AS54" s="76" t="s">
        <v>250</v>
      </c>
      <c r="AT54" s="38" t="s">
        <v>78</v>
      </c>
      <c r="AU54" s="108">
        <f>VLOOKUP(AT54,'Weekly Wins'!$B$3:$C$1002,2, FALSE)</f>
        <v>0.14285714285714285</v>
      </c>
      <c r="AW54" s="38" t="s">
        <v>40</v>
      </c>
      <c r="AX54" s="136">
        <f t="shared" si="0"/>
        <v>0.5714285714285714</v>
      </c>
      <c r="AY54" s="38">
        <v>20</v>
      </c>
      <c r="AZ54" s="135" t="s">
        <v>175</v>
      </c>
      <c r="BA54" s="38">
        <v>35</v>
      </c>
      <c r="BB54" s="38">
        <v>2024</v>
      </c>
    </row>
    <row r="55" spans="1:54" x14ac:dyDescent="0.25">
      <c r="A55" s="103"/>
      <c r="B55" s="40" t="s">
        <v>250</v>
      </c>
      <c r="C55" s="90" t="s">
        <v>270</v>
      </c>
      <c r="D55" s="102">
        <f>VLOOKUP(C55,College!$B$5:$E$124,2, FALSE)</f>
        <v>201</v>
      </c>
      <c r="F55" s="40" t="s">
        <v>250</v>
      </c>
      <c r="G55" s="38" t="s">
        <v>333</v>
      </c>
      <c r="H55" s="41">
        <f>VLOOKUP(G55,College!$B$5:$E$124,4, FALSE)</f>
        <v>0.46666666666666667</v>
      </c>
      <c r="AN55" s="76"/>
      <c r="AO55" s="38" t="s">
        <v>40</v>
      </c>
      <c r="AP55" s="132">
        <v>1.1666666666666667</v>
      </c>
      <c r="AQ55" s="65">
        <v>2025</v>
      </c>
      <c r="AS55" s="76" t="s">
        <v>201</v>
      </c>
      <c r="AT55" s="38" t="s">
        <v>194</v>
      </c>
      <c r="AU55" s="108">
        <f>VLOOKUP(AT55,'Weekly Wins'!$B$3:$C$1002,2, FALSE)</f>
        <v>0.14285714285714285</v>
      </c>
      <c r="AW55" s="38" t="s">
        <v>48</v>
      </c>
      <c r="AX55" s="136">
        <f t="shared" si="0"/>
        <v>0.56666666666666665</v>
      </c>
      <c r="AY55" s="76">
        <v>17</v>
      </c>
      <c r="AZ55" s="135" t="s">
        <v>175</v>
      </c>
      <c r="BA55" s="73">
        <v>30</v>
      </c>
      <c r="BB55" s="65">
        <v>2015</v>
      </c>
    </row>
    <row r="56" spans="1:54" x14ac:dyDescent="0.25">
      <c r="A56" s="103"/>
      <c r="B56" s="40" t="s">
        <v>201</v>
      </c>
      <c r="C56" s="38" t="s">
        <v>69</v>
      </c>
      <c r="D56" s="194">
        <f>VLOOKUP(C56,College!$B$5:$E$124,2, FALSE)</f>
        <v>174.5</v>
      </c>
      <c r="F56" s="40" t="s">
        <v>201</v>
      </c>
      <c r="G56" s="38" t="s">
        <v>67</v>
      </c>
      <c r="H56" s="41">
        <f>VLOOKUP(G56,College!$B$5:$E$124,4, FALSE)</f>
        <v>0.46341463414634149</v>
      </c>
      <c r="AN56" s="76"/>
      <c r="AO56" s="38" t="s">
        <v>54</v>
      </c>
      <c r="AP56" s="108">
        <v>1.1428571428571428</v>
      </c>
      <c r="AQ56" s="65">
        <v>2017</v>
      </c>
      <c r="AS56" s="76" t="s">
        <v>202</v>
      </c>
      <c r="AT56" s="38" t="s">
        <v>72</v>
      </c>
      <c r="AU56" s="108">
        <f>VLOOKUP(AT56,'Weekly Wins'!$B$3:$C$1002,2, FALSE)</f>
        <v>0</v>
      </c>
      <c r="AW56" s="38" t="s">
        <v>47</v>
      </c>
      <c r="AX56" s="136">
        <f t="shared" si="0"/>
        <v>0.56666666666666665</v>
      </c>
      <c r="AY56" s="76">
        <v>17</v>
      </c>
      <c r="AZ56" s="135" t="s">
        <v>175</v>
      </c>
      <c r="BA56" s="73">
        <v>30</v>
      </c>
      <c r="BB56" s="65">
        <v>2015</v>
      </c>
    </row>
    <row r="57" spans="1:54" x14ac:dyDescent="0.25">
      <c r="A57" s="103"/>
      <c r="B57" s="40" t="s">
        <v>202</v>
      </c>
      <c r="C57" s="38" t="s">
        <v>71</v>
      </c>
      <c r="D57" s="194">
        <f>VLOOKUP(C57,College!$B$5:$E$124,2, FALSE)</f>
        <v>171.5</v>
      </c>
      <c r="F57" s="40" t="s">
        <v>339</v>
      </c>
      <c r="G57" s="38" t="s">
        <v>102</v>
      </c>
      <c r="H57" s="41">
        <f>VLOOKUP(G57,College!$B$5:$E$124,4, FALSE)</f>
        <v>0.46166666666666667</v>
      </c>
      <c r="AN57" s="76"/>
      <c r="AO57" s="38" t="s">
        <v>50</v>
      </c>
      <c r="AP57" s="108">
        <v>1.125</v>
      </c>
      <c r="AQ57" s="65">
        <v>2019</v>
      </c>
      <c r="AS57" s="76" t="s">
        <v>203</v>
      </c>
      <c r="AT57" s="38" t="s">
        <v>81</v>
      </c>
      <c r="AU57" s="108">
        <f>VLOOKUP(AT57,'Weekly Wins'!$B$3:$C$1002,2, FALSE)</f>
        <v>0</v>
      </c>
      <c r="AW57" s="38" t="s">
        <v>51</v>
      </c>
      <c r="AX57" s="136">
        <f t="shared" si="0"/>
        <v>0.5625</v>
      </c>
      <c r="AY57" s="76">
        <v>18</v>
      </c>
      <c r="AZ57" s="135" t="s">
        <v>175</v>
      </c>
      <c r="BA57" s="73">
        <v>32</v>
      </c>
      <c r="BB57" s="65">
        <v>2023</v>
      </c>
    </row>
    <row r="58" spans="1:54" x14ac:dyDescent="0.25">
      <c r="A58" s="103"/>
      <c r="B58" s="40" t="s">
        <v>203</v>
      </c>
      <c r="C58" s="38" t="s">
        <v>72</v>
      </c>
      <c r="D58" s="194">
        <f>VLOOKUP(C58,College!$B$5:$E$124,2, FALSE)</f>
        <v>165.5</v>
      </c>
      <c r="F58" s="40" t="s">
        <v>339</v>
      </c>
      <c r="G58" s="38" t="s">
        <v>103</v>
      </c>
      <c r="H58" s="41">
        <f>VLOOKUP(G58,College!$B$5:$E$124,4, FALSE)</f>
        <v>0.46166666666666667</v>
      </c>
      <c r="AN58" s="76"/>
      <c r="AO58" s="38" t="s">
        <v>47</v>
      </c>
      <c r="AP58" s="108">
        <v>1.125</v>
      </c>
      <c r="AQ58" s="65">
        <v>2019</v>
      </c>
      <c r="AS58" s="76" t="s">
        <v>204</v>
      </c>
      <c r="AT58" s="38" t="s">
        <v>71</v>
      </c>
      <c r="AU58" s="108">
        <f>VLOOKUP(AT58,'Weekly Wins'!$B$3:$C$1002,2, FALSE)</f>
        <v>0</v>
      </c>
      <c r="AW58" s="38" t="s">
        <v>215</v>
      </c>
      <c r="AX58" s="136">
        <f t="shared" si="0"/>
        <v>0.5625</v>
      </c>
      <c r="AY58" s="76">
        <v>18</v>
      </c>
      <c r="AZ58" s="135" t="s">
        <v>175</v>
      </c>
      <c r="BA58" s="73">
        <v>32</v>
      </c>
      <c r="BB58" s="65">
        <v>2023</v>
      </c>
    </row>
    <row r="59" spans="1:54" x14ac:dyDescent="0.25">
      <c r="B59" s="40" t="s">
        <v>204</v>
      </c>
      <c r="C59" s="38" t="s">
        <v>58</v>
      </c>
      <c r="D59" s="194">
        <f>VLOOKUP(C59,College!$B$5:$E$124,2, FALSE)</f>
        <v>161.5</v>
      </c>
      <c r="F59" s="40" t="s">
        <v>204</v>
      </c>
      <c r="G59" s="38" t="s">
        <v>82</v>
      </c>
      <c r="H59" s="41">
        <f>VLOOKUP(G59,College!$B$5:$E$124,4, FALSE)</f>
        <v>0.46101694915254238</v>
      </c>
      <c r="AN59" s="76"/>
      <c r="AO59" s="38" t="s">
        <v>42</v>
      </c>
      <c r="AP59" s="108">
        <v>1.125</v>
      </c>
      <c r="AQ59" s="65">
        <v>2019</v>
      </c>
      <c r="AS59" s="76" t="s">
        <v>217</v>
      </c>
      <c r="AT59" s="38" t="s">
        <v>49</v>
      </c>
      <c r="AU59" s="108">
        <f>VLOOKUP(AT59,'Weekly Wins'!$B$3:$C$1002,2, FALSE)</f>
        <v>0</v>
      </c>
      <c r="AW59" s="38" t="s">
        <v>53</v>
      </c>
      <c r="AX59" s="136">
        <f t="shared" si="0"/>
        <v>0.5625</v>
      </c>
      <c r="AY59" s="76">
        <v>18</v>
      </c>
      <c r="AZ59" s="135" t="s">
        <v>175</v>
      </c>
      <c r="BA59" s="73">
        <v>32</v>
      </c>
      <c r="BB59" s="65">
        <v>2023</v>
      </c>
    </row>
    <row r="60" spans="1:54" x14ac:dyDescent="0.25">
      <c r="B60" s="40" t="s">
        <v>217</v>
      </c>
      <c r="C60" s="38" t="s">
        <v>238</v>
      </c>
      <c r="D60" s="194">
        <f>VLOOKUP(C60,College!$B$5:$E$124,2, FALSE)</f>
        <v>153.5</v>
      </c>
      <c r="F60" s="40" t="s">
        <v>217</v>
      </c>
      <c r="G60" s="38" t="s">
        <v>37</v>
      </c>
      <c r="H60" s="41">
        <f>VLOOKUP(G60,College!$B$5:$E$124,4, FALSE)</f>
        <v>0.45847750865051901</v>
      </c>
      <c r="AN60" s="76"/>
      <c r="AO60" s="38" t="s">
        <v>55</v>
      </c>
      <c r="AP60" s="132">
        <v>1.0833333333333333</v>
      </c>
      <c r="AQ60" s="65">
        <v>2023</v>
      </c>
      <c r="AS60" s="76" t="s">
        <v>218</v>
      </c>
      <c r="AT60" s="38" t="s">
        <v>192</v>
      </c>
      <c r="AU60" s="108">
        <f>VLOOKUP(AT60,'Weekly Wins'!$B$3:$C$1002,2, FALSE)</f>
        <v>0</v>
      </c>
      <c r="AW60" s="38" t="s">
        <v>56</v>
      </c>
      <c r="AX60" s="136">
        <f t="shared" si="0"/>
        <v>0.5625</v>
      </c>
      <c r="AY60" s="76">
        <v>18</v>
      </c>
      <c r="AZ60" s="135" t="s">
        <v>175</v>
      </c>
      <c r="BA60" s="73">
        <v>32</v>
      </c>
      <c r="BB60" s="65">
        <v>2023</v>
      </c>
    </row>
    <row r="61" spans="1:54" x14ac:dyDescent="0.25">
      <c r="B61" s="40" t="s">
        <v>218</v>
      </c>
      <c r="C61" s="38" t="s">
        <v>376</v>
      </c>
      <c r="D61" s="194">
        <f>VLOOKUP(C61,College!$B$5:$E$124,2, FALSE)</f>
        <v>151.5</v>
      </c>
      <c r="F61" s="40" t="s">
        <v>218</v>
      </c>
      <c r="G61" s="38" t="s">
        <v>192</v>
      </c>
      <c r="H61" s="41">
        <f>VLOOKUP(G61,College!$B$5:$E$124,4, FALSE)</f>
        <v>0.45689655172413796</v>
      </c>
      <c r="AN61" s="76"/>
      <c r="AO61" s="38" t="s">
        <v>45</v>
      </c>
      <c r="AP61" s="132">
        <v>1</v>
      </c>
      <c r="AQ61" s="65">
        <v>2025</v>
      </c>
      <c r="AS61" s="76" t="s">
        <v>219</v>
      </c>
      <c r="AT61" s="38" t="s">
        <v>102</v>
      </c>
      <c r="AU61" s="108">
        <f>VLOOKUP(AT61,'Weekly Wins'!$B$3:$C$1002,2, FALSE)</f>
        <v>0</v>
      </c>
      <c r="AW61" s="38" t="s">
        <v>55</v>
      </c>
      <c r="AX61" s="136">
        <f t="shared" si="0"/>
        <v>0.5625</v>
      </c>
      <c r="AY61" s="76">
        <v>18</v>
      </c>
      <c r="AZ61" s="135" t="s">
        <v>175</v>
      </c>
      <c r="BA61" s="73">
        <v>32</v>
      </c>
      <c r="BB61" s="65">
        <v>2018</v>
      </c>
    </row>
    <row r="62" spans="1:54" x14ac:dyDescent="0.25">
      <c r="B62" s="40" t="s">
        <v>219</v>
      </c>
      <c r="C62" s="38" t="s">
        <v>190</v>
      </c>
      <c r="D62" s="194">
        <f>VLOOKUP(C62,College!$B$5:$E$124,2, FALSE)</f>
        <v>143.5</v>
      </c>
      <c r="F62" s="40" t="s">
        <v>219</v>
      </c>
      <c r="G62" s="38" t="s">
        <v>70</v>
      </c>
      <c r="H62" s="41">
        <f>VLOOKUP(G62,College!$B$5:$E$124,4, FALSE)</f>
        <v>0.45384615384615384</v>
      </c>
      <c r="AN62" s="76"/>
      <c r="AO62" s="38" t="s">
        <v>62</v>
      </c>
      <c r="AP62" s="132">
        <v>1</v>
      </c>
      <c r="AQ62" s="65">
        <v>2025</v>
      </c>
      <c r="AS62" s="76" t="s">
        <v>220</v>
      </c>
      <c r="AT62" s="38" t="s">
        <v>103</v>
      </c>
      <c r="AU62" s="108">
        <f>VLOOKUP(AT62,'Weekly Wins'!$B$3:$C$1002,2, FALSE)</f>
        <v>0</v>
      </c>
      <c r="AW62" s="38" t="s">
        <v>50</v>
      </c>
      <c r="AX62" s="136">
        <f t="shared" si="0"/>
        <v>0.5625</v>
      </c>
      <c r="AY62" s="76">
        <v>18</v>
      </c>
      <c r="AZ62" s="135" t="s">
        <v>175</v>
      </c>
      <c r="BA62" s="73">
        <v>32</v>
      </c>
      <c r="BB62" s="65">
        <v>2018</v>
      </c>
    </row>
    <row r="63" spans="1:54" x14ac:dyDescent="0.25">
      <c r="B63" s="40" t="s">
        <v>220</v>
      </c>
      <c r="C63" s="38" t="s">
        <v>77</v>
      </c>
      <c r="D63" s="194">
        <f>VLOOKUP(C63,College!$B$5:$E$124,2, FALSE)</f>
        <v>142.5</v>
      </c>
      <c r="F63" s="40" t="s">
        <v>220</v>
      </c>
      <c r="G63" s="38" t="s">
        <v>216</v>
      </c>
      <c r="H63" s="41">
        <f>VLOOKUP(G63,College!$B$5:$E$124,4, FALSE)</f>
        <v>0.45023474178403755</v>
      </c>
      <c r="AN63" s="76"/>
      <c r="AO63" s="38" t="s">
        <v>61</v>
      </c>
      <c r="AP63" s="108">
        <v>1</v>
      </c>
      <c r="AQ63" s="65">
        <v>2024</v>
      </c>
      <c r="AS63" s="76" t="s">
        <v>221</v>
      </c>
      <c r="AT63" s="38" t="s">
        <v>69</v>
      </c>
      <c r="AU63" s="108">
        <f>VLOOKUP(AT63,'Weekly Wins'!$B$3:$C$1002,2, FALSE)</f>
        <v>0</v>
      </c>
      <c r="AW63" s="38" t="s">
        <v>61</v>
      </c>
      <c r="AX63" s="136">
        <f t="shared" si="0"/>
        <v>0.5625</v>
      </c>
      <c r="AY63" s="76">
        <v>18</v>
      </c>
      <c r="AZ63" s="135" t="s">
        <v>175</v>
      </c>
      <c r="BA63" s="73">
        <v>32</v>
      </c>
      <c r="BB63" s="65">
        <v>2018</v>
      </c>
    </row>
    <row r="64" spans="1:54" x14ac:dyDescent="0.25">
      <c r="B64" s="40" t="s">
        <v>385</v>
      </c>
      <c r="C64" s="38" t="s">
        <v>49</v>
      </c>
      <c r="D64" s="194">
        <f>VLOOKUP(C64,College!$B$5:$E$124,2, FALSE)</f>
        <v>140.5</v>
      </c>
      <c r="F64" s="40" t="s">
        <v>221</v>
      </c>
      <c r="G64" s="90" t="s">
        <v>78</v>
      </c>
      <c r="H64" s="41">
        <f>VLOOKUP(G64,College!$B$5:$E$124,4, FALSE)</f>
        <v>0.45009242144177447</v>
      </c>
      <c r="AN64" s="76"/>
      <c r="AO64" s="38" t="s">
        <v>62</v>
      </c>
      <c r="AP64" s="108">
        <v>1</v>
      </c>
      <c r="AQ64" s="65">
        <v>2024</v>
      </c>
      <c r="AS64" s="76" t="s">
        <v>225</v>
      </c>
      <c r="AT64" s="38" t="s">
        <v>193</v>
      </c>
      <c r="AU64" s="108">
        <f>VLOOKUP(AT64,'Weekly Wins'!$B$3:$C$1002,2, FALSE)</f>
        <v>0</v>
      </c>
      <c r="AW64" s="38" t="s">
        <v>51</v>
      </c>
      <c r="AX64" s="136">
        <f t="shared" si="0"/>
        <v>0.5625</v>
      </c>
      <c r="AY64" s="76">
        <v>18</v>
      </c>
      <c r="AZ64" s="135" t="s">
        <v>175</v>
      </c>
      <c r="BA64" s="73">
        <v>32</v>
      </c>
      <c r="BB64" s="65">
        <v>2017</v>
      </c>
    </row>
    <row r="65" spans="2:54" x14ac:dyDescent="0.25">
      <c r="B65" s="40" t="s">
        <v>385</v>
      </c>
      <c r="C65" s="38" t="s">
        <v>79</v>
      </c>
      <c r="D65" s="194">
        <f>VLOOKUP(C65,College!$B$5:$E$124,2, FALSE)</f>
        <v>140.5</v>
      </c>
      <c r="F65" s="40" t="s">
        <v>225</v>
      </c>
      <c r="G65" s="90" t="s">
        <v>76</v>
      </c>
      <c r="H65" s="104">
        <f>VLOOKUP(G65,College!$B$5:$E$124,4, FALSE)</f>
        <v>0.44591836734693879</v>
      </c>
      <c r="AN65" s="76"/>
      <c r="AO65" s="38" t="s">
        <v>40</v>
      </c>
      <c r="AP65" s="108">
        <v>1</v>
      </c>
      <c r="AQ65" s="65">
        <v>2024</v>
      </c>
      <c r="AS65" s="76" t="s">
        <v>243</v>
      </c>
      <c r="AT65" s="38" t="s">
        <v>376</v>
      </c>
      <c r="AU65" s="108">
        <f>VLOOKUP(AT65,'Weekly Wins'!$B$3:$C$1002,2, FALSE)</f>
        <v>0</v>
      </c>
      <c r="AW65" s="38" t="s">
        <v>45</v>
      </c>
      <c r="AX65" s="136">
        <f t="shared" si="0"/>
        <v>0.55882352941176472</v>
      </c>
      <c r="AY65" s="76">
        <v>19</v>
      </c>
      <c r="AZ65" s="135" t="s">
        <v>175</v>
      </c>
      <c r="BA65" s="73">
        <v>34</v>
      </c>
      <c r="BB65" s="65">
        <v>2020</v>
      </c>
    </row>
    <row r="66" spans="2:54" x14ac:dyDescent="0.25">
      <c r="B66" s="40" t="s">
        <v>387</v>
      </c>
      <c r="C66" s="38" t="s">
        <v>102</v>
      </c>
      <c r="D66" s="194">
        <f>VLOOKUP(C66,College!$B$5:$E$124,2, FALSE)</f>
        <v>138.5</v>
      </c>
      <c r="F66" s="40" t="s">
        <v>243</v>
      </c>
      <c r="G66" s="38" t="s">
        <v>241</v>
      </c>
      <c r="H66" s="104">
        <f>VLOOKUP(G66,College!$B$5:$E$124,4, FALSE)</f>
        <v>0.44193548387096776</v>
      </c>
      <c r="AN66" s="76"/>
      <c r="AO66" s="38" t="s">
        <v>253</v>
      </c>
      <c r="AP66" s="108">
        <v>1</v>
      </c>
      <c r="AQ66" s="65">
        <v>2024</v>
      </c>
      <c r="AS66" s="76" t="s">
        <v>244</v>
      </c>
      <c r="AT66" s="38" t="s">
        <v>104</v>
      </c>
      <c r="AU66" s="108">
        <f>VLOOKUP(AT66,'Weekly Wins'!$B$3:$C$1002,2, FALSE)</f>
        <v>0</v>
      </c>
      <c r="AW66" s="38" t="s">
        <v>47</v>
      </c>
      <c r="AX66" s="136">
        <f t="shared" si="0"/>
        <v>0.55882352941176472</v>
      </c>
      <c r="AY66" s="76">
        <v>19</v>
      </c>
      <c r="AZ66" s="135" t="s">
        <v>175</v>
      </c>
      <c r="BA66" s="73">
        <v>34</v>
      </c>
      <c r="BB66" s="65">
        <v>2020</v>
      </c>
    </row>
    <row r="67" spans="2:54" x14ac:dyDescent="0.25">
      <c r="B67" s="40" t="s">
        <v>387</v>
      </c>
      <c r="C67" s="38" t="s">
        <v>103</v>
      </c>
      <c r="D67" s="194">
        <f>VLOOKUP(C67,College!$B$5:$E$124,2, FALSE)</f>
        <v>138.5</v>
      </c>
      <c r="F67" s="40" t="s">
        <v>244</v>
      </c>
      <c r="G67" s="38" t="s">
        <v>376</v>
      </c>
      <c r="H67" s="104">
        <f>VLOOKUP(G67,College!$B$5:$E$124,4, FALSE)</f>
        <v>0.43285714285714288</v>
      </c>
      <c r="AN67" s="76"/>
      <c r="AO67" s="38" t="s">
        <v>46</v>
      </c>
      <c r="AP67" s="108">
        <v>1</v>
      </c>
      <c r="AQ67" s="65">
        <v>2024</v>
      </c>
      <c r="AS67" s="76" t="s">
        <v>245</v>
      </c>
      <c r="AT67" s="38" t="s">
        <v>198</v>
      </c>
      <c r="AU67" s="108">
        <f>VLOOKUP(AT67,'Weekly Wins'!$B$3:$C$1002,2, FALSE)</f>
        <v>0</v>
      </c>
      <c r="AW67" s="38" t="s">
        <v>212</v>
      </c>
      <c r="AX67" s="175">
        <f t="shared" si="0"/>
        <v>0.55714285714285716</v>
      </c>
      <c r="AY67" s="38">
        <v>19.5</v>
      </c>
      <c r="AZ67" s="135" t="s">
        <v>175</v>
      </c>
      <c r="BA67" s="73">
        <v>35</v>
      </c>
      <c r="BB67" s="65">
        <v>2025</v>
      </c>
    </row>
    <row r="68" spans="2:54" x14ac:dyDescent="0.25">
      <c r="B68" s="40" t="s">
        <v>245</v>
      </c>
      <c r="C68" s="38" t="s">
        <v>241</v>
      </c>
      <c r="D68" s="194">
        <f>VLOOKUP(C68,College!$B$5:$E$124,2, FALSE)</f>
        <v>137</v>
      </c>
      <c r="F68" s="40" t="s">
        <v>246</v>
      </c>
      <c r="G68" s="38" t="s">
        <v>81</v>
      </c>
      <c r="H68" s="41">
        <f>VLOOKUP(G68,College!$B$5:$E$124,4, FALSE)</f>
        <v>0.43275862068965515</v>
      </c>
      <c r="AN68" s="76"/>
      <c r="AO68" s="38" t="s">
        <v>224</v>
      </c>
      <c r="AP68" s="108">
        <v>1</v>
      </c>
      <c r="AQ68" s="65">
        <v>2024</v>
      </c>
      <c r="AS68" s="76" t="s">
        <v>246</v>
      </c>
      <c r="AT68" s="38" t="s">
        <v>58</v>
      </c>
      <c r="AU68" s="108">
        <f>VLOOKUP(AT68,'Weekly Wins'!$B$3:$C$1002,2, FALSE)</f>
        <v>0</v>
      </c>
      <c r="AW68" s="38" t="s">
        <v>52</v>
      </c>
      <c r="AX68" s="175">
        <f t="shared" ref="AX68:AX131" si="2">AY68/BA68</f>
        <v>0.55714285714285716</v>
      </c>
      <c r="AY68" s="38">
        <v>19.5</v>
      </c>
      <c r="AZ68" s="135" t="s">
        <v>175</v>
      </c>
      <c r="BA68" s="73">
        <v>35</v>
      </c>
      <c r="BB68" s="65">
        <v>2025</v>
      </c>
    </row>
    <row r="69" spans="2:54" x14ac:dyDescent="0.25">
      <c r="B69" s="40" t="s">
        <v>246</v>
      </c>
      <c r="C69" s="38" t="s">
        <v>192</v>
      </c>
      <c r="D69" s="194">
        <f>VLOOKUP(C69,College!$B$5:$E$124,2, FALSE)</f>
        <v>132.5</v>
      </c>
      <c r="F69" s="40" t="s">
        <v>247</v>
      </c>
      <c r="G69" s="38" t="s">
        <v>270</v>
      </c>
      <c r="H69" s="41">
        <f>VLOOKUP(G69,College!$B$5:$E$124,4, FALSE)</f>
        <v>0.43225806451612903</v>
      </c>
      <c r="AN69" s="76"/>
      <c r="AO69" s="38" t="s">
        <v>43</v>
      </c>
      <c r="AP69" s="132">
        <v>1</v>
      </c>
      <c r="AQ69" s="65">
        <v>2023</v>
      </c>
      <c r="AS69" s="76" t="s">
        <v>247</v>
      </c>
      <c r="AT69" s="38" t="s">
        <v>241</v>
      </c>
      <c r="AU69" s="108">
        <f>VLOOKUP(AT69,'Weekly Wins'!$B$3:$C$1002,2, FALSE)</f>
        <v>0</v>
      </c>
      <c r="AW69" s="38" t="s">
        <v>45</v>
      </c>
      <c r="AX69" s="136">
        <f t="shared" si="2"/>
        <v>0.546875</v>
      </c>
      <c r="AY69" s="76">
        <v>17.5</v>
      </c>
      <c r="AZ69" s="135" t="s">
        <v>175</v>
      </c>
      <c r="BA69" s="73">
        <v>32</v>
      </c>
      <c r="BB69" s="65">
        <v>2023</v>
      </c>
    </row>
    <row r="70" spans="2:54" x14ac:dyDescent="0.25">
      <c r="B70" s="40" t="s">
        <v>247</v>
      </c>
      <c r="C70" s="38" t="s">
        <v>81</v>
      </c>
      <c r="D70" s="194">
        <f>VLOOKUP(C70,College!$B$5:$E$124,2, FALSE)</f>
        <v>125.5</v>
      </c>
      <c r="F70" s="40" t="s">
        <v>256</v>
      </c>
      <c r="G70" s="38" t="s">
        <v>237</v>
      </c>
      <c r="H70" s="41">
        <f>VLOOKUP(G70,College!$B$5:$E$124,4, FALSE)</f>
        <v>0.43181818181818182</v>
      </c>
      <c r="AN70" s="76"/>
      <c r="AO70" s="38" t="s">
        <v>62</v>
      </c>
      <c r="AP70" s="132">
        <v>1</v>
      </c>
      <c r="AQ70" s="65">
        <v>2023</v>
      </c>
      <c r="AS70" s="76" t="s">
        <v>256</v>
      </c>
      <c r="AT70" s="38" t="s">
        <v>238</v>
      </c>
      <c r="AU70" s="108">
        <f>VLOOKUP(AT70,'Weekly Wins'!$B$3:$C$1002,2, FALSE)</f>
        <v>0</v>
      </c>
      <c r="AW70" s="38" t="s">
        <v>48</v>
      </c>
      <c r="AX70" s="136">
        <f t="shared" si="2"/>
        <v>0.546875</v>
      </c>
      <c r="AY70" s="76">
        <v>17.5</v>
      </c>
      <c r="AZ70" s="135" t="s">
        <v>175</v>
      </c>
      <c r="BA70" s="73">
        <v>32</v>
      </c>
      <c r="BB70" s="65">
        <v>2022</v>
      </c>
    </row>
    <row r="71" spans="2:54" x14ac:dyDescent="0.25">
      <c r="B71" s="40" t="s">
        <v>256</v>
      </c>
      <c r="C71" s="38" t="s">
        <v>237</v>
      </c>
      <c r="D71" s="194">
        <f>VLOOKUP(C71,College!$B$5:$E$124,2, FALSE)</f>
        <v>123.5</v>
      </c>
      <c r="F71" s="40" t="s">
        <v>271</v>
      </c>
      <c r="G71" s="38" t="s">
        <v>105</v>
      </c>
      <c r="H71" s="41">
        <f>VLOOKUP(G71,College!$B$5:$E$124,4, FALSE)</f>
        <v>0.40857142857142859</v>
      </c>
      <c r="AN71" s="76"/>
      <c r="AO71" s="38" t="s">
        <v>215</v>
      </c>
      <c r="AP71" s="132">
        <v>1</v>
      </c>
      <c r="AQ71" s="65">
        <v>2023</v>
      </c>
      <c r="AS71" s="76" t="s">
        <v>271</v>
      </c>
      <c r="AT71" s="38" t="s">
        <v>333</v>
      </c>
      <c r="AU71" s="108">
        <f>VLOOKUP(AT71,'Weekly Wins'!$B$3:$C$1002,2, FALSE)</f>
        <v>0</v>
      </c>
      <c r="AW71" s="38" t="s">
        <v>40</v>
      </c>
      <c r="AX71" s="136">
        <f t="shared" si="2"/>
        <v>0.546875</v>
      </c>
      <c r="AY71" s="76">
        <v>17.5</v>
      </c>
      <c r="AZ71" s="135" t="s">
        <v>175</v>
      </c>
      <c r="BA71" s="73">
        <v>32</v>
      </c>
      <c r="BB71" s="65">
        <v>2022</v>
      </c>
    </row>
    <row r="72" spans="2:54" x14ac:dyDescent="0.25">
      <c r="B72" s="40" t="s">
        <v>271</v>
      </c>
      <c r="C72" s="38" t="s">
        <v>104</v>
      </c>
      <c r="D72" s="194">
        <f>VLOOKUP(C72,College!$B$5:$E$124,2, FALSE)</f>
        <v>120.5</v>
      </c>
      <c r="F72" s="40" t="s">
        <v>275</v>
      </c>
      <c r="G72" s="38" t="s">
        <v>58</v>
      </c>
      <c r="H72" s="41">
        <f>VLOOKUP(G72,College!$B$5:$E$124,4, FALSE)</f>
        <v>0.40476190476190477</v>
      </c>
      <c r="AN72" s="76"/>
      <c r="AO72" s="38" t="s">
        <v>45</v>
      </c>
      <c r="AP72" s="132">
        <v>1</v>
      </c>
      <c r="AQ72" s="65">
        <v>2023</v>
      </c>
      <c r="AS72" s="76" t="s">
        <v>275</v>
      </c>
      <c r="AT72" s="38" t="s">
        <v>270</v>
      </c>
      <c r="AU72" s="108">
        <f>VLOOKUP(AT72,'Weekly Wins'!$B$3:$C$1002,2, FALSE)</f>
        <v>0</v>
      </c>
      <c r="AW72" s="38" t="s">
        <v>38</v>
      </c>
      <c r="AX72" s="136">
        <f t="shared" si="2"/>
        <v>0.546875</v>
      </c>
      <c r="AY72" s="76">
        <v>17.5</v>
      </c>
      <c r="AZ72" s="135" t="s">
        <v>175</v>
      </c>
      <c r="BA72" s="73">
        <v>32</v>
      </c>
      <c r="BB72" s="65">
        <v>2021</v>
      </c>
    </row>
    <row r="73" spans="2:54" x14ac:dyDescent="0.25">
      <c r="B73" s="40" t="s">
        <v>275</v>
      </c>
      <c r="C73" s="38" t="s">
        <v>333</v>
      </c>
      <c r="D73" s="44">
        <f>VLOOKUP(C73,College!$B$5:$E$124,2, FALSE)</f>
        <v>84</v>
      </c>
      <c r="F73" s="40" t="s">
        <v>275</v>
      </c>
      <c r="G73" s="38" t="s">
        <v>193</v>
      </c>
      <c r="H73" s="41">
        <f>VLOOKUP(G73,College!$B$5:$E$124,4, FALSE)</f>
        <v>0.39285714285714285</v>
      </c>
      <c r="AN73" s="76"/>
      <c r="AO73" s="38" t="s">
        <v>224</v>
      </c>
      <c r="AP73" s="132">
        <v>1</v>
      </c>
      <c r="AQ73" s="65">
        <v>2023</v>
      </c>
      <c r="AS73" s="76" t="s">
        <v>336</v>
      </c>
      <c r="AT73" s="186"/>
      <c r="AU73" s="192"/>
      <c r="AW73" s="38" t="s">
        <v>54</v>
      </c>
      <c r="AX73" s="136">
        <f t="shared" si="2"/>
        <v>0.54411764705882348</v>
      </c>
      <c r="AY73" s="76">
        <v>18.5</v>
      </c>
      <c r="AZ73" s="135" t="s">
        <v>175</v>
      </c>
      <c r="BA73" s="73">
        <v>34</v>
      </c>
      <c r="BB73" s="65">
        <v>2019</v>
      </c>
    </row>
    <row r="74" spans="2:54" x14ac:dyDescent="0.25">
      <c r="B74" s="40" t="s">
        <v>336</v>
      </c>
      <c r="C74" s="38" t="s">
        <v>105</v>
      </c>
      <c r="D74" s="194">
        <f>VLOOKUP(C74,College!$B$5:$E$124,2, FALSE)</f>
        <v>71.5</v>
      </c>
      <c r="F74" s="40" t="s">
        <v>336</v>
      </c>
      <c r="G74" s="38" t="s">
        <v>238</v>
      </c>
      <c r="H74" s="41">
        <f>VLOOKUP(G74,College!$B$5:$E$124,4, FALSE)</f>
        <v>0.37995049504950495</v>
      </c>
      <c r="AN74" s="76"/>
      <c r="AO74" s="38" t="s">
        <v>55</v>
      </c>
      <c r="AP74" s="108">
        <v>1</v>
      </c>
      <c r="AQ74" s="65">
        <v>2022</v>
      </c>
      <c r="AS74" s="76" t="s">
        <v>337</v>
      </c>
      <c r="AT74" s="186"/>
      <c r="AU74" s="192"/>
      <c r="AW74" s="38" t="s">
        <v>66</v>
      </c>
      <c r="AX74" s="136">
        <f t="shared" si="2"/>
        <v>0.54411764705882348</v>
      </c>
      <c r="AY74" s="76">
        <v>18.5</v>
      </c>
      <c r="AZ74" s="135" t="s">
        <v>175</v>
      </c>
      <c r="BA74" s="73">
        <v>34</v>
      </c>
      <c r="BB74" s="65">
        <v>2019</v>
      </c>
    </row>
    <row r="75" spans="2:54" x14ac:dyDescent="0.25">
      <c r="B75" s="40" t="s">
        <v>337</v>
      </c>
      <c r="C75" s="38" t="s">
        <v>193</v>
      </c>
      <c r="D75" s="194">
        <f>VLOOKUP(C75,College!$B$5:$E$124,2, FALSE)</f>
        <v>66</v>
      </c>
      <c r="F75" s="40" t="s">
        <v>337</v>
      </c>
      <c r="G75" s="38" t="s">
        <v>344</v>
      </c>
      <c r="H75" s="41">
        <f>VLOOKUP(G75,College!$B$5:$E$124,4, FALSE)</f>
        <v>0.35</v>
      </c>
      <c r="AN75" s="76"/>
      <c r="AO75" s="38" t="s">
        <v>43</v>
      </c>
      <c r="AP75" s="108">
        <v>1</v>
      </c>
      <c r="AQ75" s="65">
        <v>2022</v>
      </c>
      <c r="AW75" s="38" t="s">
        <v>45</v>
      </c>
      <c r="AX75" s="136">
        <f t="shared" si="2"/>
        <v>0.54411764705882348</v>
      </c>
      <c r="AY75" s="76">
        <v>18.5</v>
      </c>
      <c r="AZ75" s="135" t="s">
        <v>175</v>
      </c>
      <c r="BA75" s="73">
        <v>34</v>
      </c>
      <c r="BB75" s="65">
        <v>2019</v>
      </c>
    </row>
    <row r="76" spans="2:54" ht="15.75" thickBot="1" x14ac:dyDescent="0.3">
      <c r="B76" s="156" t="s">
        <v>345</v>
      </c>
      <c r="C76" s="164" t="s">
        <v>344</v>
      </c>
      <c r="D76" s="61">
        <f>VLOOKUP(C76,College!$B$5:$E$124,2, FALSE)</f>
        <v>49</v>
      </c>
      <c r="F76" s="42" t="s">
        <v>345</v>
      </c>
      <c r="G76" s="43" t="s">
        <v>104</v>
      </c>
      <c r="H76" s="193">
        <f>VLOOKUP(G76,College!$B$5:$E$124,4, FALSE)</f>
        <v>0.34428571428571431</v>
      </c>
      <c r="AN76" s="76"/>
      <c r="AO76" s="38" t="s">
        <v>44</v>
      </c>
      <c r="AP76" s="108">
        <v>1</v>
      </c>
      <c r="AQ76" s="65">
        <v>2022</v>
      </c>
      <c r="AW76" s="38" t="s">
        <v>52</v>
      </c>
      <c r="AX76" s="136">
        <f t="shared" si="2"/>
        <v>0.54411764705882348</v>
      </c>
      <c r="AY76" s="76">
        <v>18.5</v>
      </c>
      <c r="AZ76" s="135" t="s">
        <v>175</v>
      </c>
      <c r="BA76" s="73">
        <v>34</v>
      </c>
      <c r="BB76" s="65">
        <v>2019</v>
      </c>
    </row>
    <row r="77" spans="2:54" x14ac:dyDescent="0.25">
      <c r="AN77" s="76"/>
      <c r="AO77" s="38" t="s">
        <v>62</v>
      </c>
      <c r="AP77" s="108">
        <v>1</v>
      </c>
      <c r="AQ77" s="65">
        <v>2022</v>
      </c>
      <c r="AW77" s="38" t="s">
        <v>40</v>
      </c>
      <c r="AX77" s="136">
        <f t="shared" si="2"/>
        <v>0.54411764705882348</v>
      </c>
      <c r="AY77" s="76">
        <v>18.5</v>
      </c>
      <c r="AZ77" s="135" t="s">
        <v>175</v>
      </c>
      <c r="BA77" s="73">
        <v>34</v>
      </c>
      <c r="BB77" s="65">
        <v>2019</v>
      </c>
    </row>
    <row r="78" spans="2:54" x14ac:dyDescent="0.25">
      <c r="AN78" s="76"/>
      <c r="AO78" s="38" t="s">
        <v>37</v>
      </c>
      <c r="AP78" s="108">
        <v>1</v>
      </c>
      <c r="AQ78" s="65">
        <v>2022</v>
      </c>
      <c r="AW78" s="38" t="s">
        <v>40</v>
      </c>
      <c r="AX78" s="175">
        <f t="shared" si="2"/>
        <v>0.54285714285714282</v>
      </c>
      <c r="AY78" s="38">
        <v>19</v>
      </c>
      <c r="AZ78" s="135" t="s">
        <v>175</v>
      </c>
      <c r="BA78" s="73">
        <v>35</v>
      </c>
      <c r="BB78" s="65">
        <v>2025</v>
      </c>
    </row>
    <row r="79" spans="2:54" x14ac:dyDescent="0.25">
      <c r="AN79" s="76"/>
      <c r="AO79" s="38" t="s">
        <v>50</v>
      </c>
      <c r="AP79" s="108">
        <v>1</v>
      </c>
      <c r="AQ79" s="65">
        <v>2021</v>
      </c>
      <c r="AW79" s="38" t="s">
        <v>253</v>
      </c>
      <c r="AX79" s="175">
        <f t="shared" si="2"/>
        <v>0.54285714285714282</v>
      </c>
      <c r="AY79" s="38">
        <v>19</v>
      </c>
      <c r="AZ79" s="135" t="s">
        <v>175</v>
      </c>
      <c r="BA79" s="73">
        <v>35</v>
      </c>
      <c r="BB79" s="65">
        <v>2025</v>
      </c>
    </row>
    <row r="80" spans="2:54" x14ac:dyDescent="0.25">
      <c r="AN80" s="76"/>
      <c r="AO80" s="38" t="s">
        <v>59</v>
      </c>
      <c r="AP80" s="108">
        <v>1</v>
      </c>
      <c r="AQ80" s="65">
        <v>2021</v>
      </c>
      <c r="AW80" s="38" t="s">
        <v>56</v>
      </c>
      <c r="AX80" s="175">
        <f t="shared" si="2"/>
        <v>0.54285714285714282</v>
      </c>
      <c r="AY80" s="38">
        <v>19</v>
      </c>
      <c r="AZ80" s="135" t="s">
        <v>175</v>
      </c>
      <c r="BA80" s="73">
        <v>35</v>
      </c>
      <c r="BB80" s="65">
        <v>2025</v>
      </c>
    </row>
    <row r="81" spans="40:54" x14ac:dyDescent="0.25">
      <c r="AN81" s="76"/>
      <c r="AO81" s="38" t="s">
        <v>42</v>
      </c>
      <c r="AP81" s="108">
        <v>1</v>
      </c>
      <c r="AQ81" s="65">
        <v>2021</v>
      </c>
      <c r="AW81" s="38" t="s">
        <v>61</v>
      </c>
      <c r="AX81" s="175">
        <f t="shared" si="2"/>
        <v>0.54285714285714282</v>
      </c>
      <c r="AY81" s="38">
        <v>19</v>
      </c>
      <c r="AZ81" s="135" t="s">
        <v>175</v>
      </c>
      <c r="BA81" s="73">
        <v>35</v>
      </c>
      <c r="BB81" s="65">
        <v>2025</v>
      </c>
    </row>
    <row r="82" spans="40:54" x14ac:dyDescent="0.25">
      <c r="AN82" s="76"/>
      <c r="AO82" s="38" t="s">
        <v>38</v>
      </c>
      <c r="AP82" s="108">
        <v>1</v>
      </c>
      <c r="AQ82" s="65">
        <v>2019</v>
      </c>
      <c r="AW82" s="38" t="s">
        <v>269</v>
      </c>
      <c r="AX82" s="175">
        <f t="shared" si="2"/>
        <v>0.54285714285714282</v>
      </c>
      <c r="AY82" s="38">
        <v>19</v>
      </c>
      <c r="AZ82" s="135" t="s">
        <v>175</v>
      </c>
      <c r="BA82" s="73">
        <v>35</v>
      </c>
      <c r="BB82" s="65">
        <v>2025</v>
      </c>
    </row>
    <row r="83" spans="40:54" x14ac:dyDescent="0.25">
      <c r="AN83" s="76"/>
      <c r="AO83" s="38" t="s">
        <v>46</v>
      </c>
      <c r="AP83" s="108">
        <v>1</v>
      </c>
      <c r="AQ83" s="65">
        <v>2019</v>
      </c>
      <c r="AW83" s="38" t="s">
        <v>59</v>
      </c>
      <c r="AX83" s="136">
        <f t="shared" si="2"/>
        <v>0.54285714285714282</v>
      </c>
      <c r="AY83" s="38">
        <v>19</v>
      </c>
      <c r="AZ83" s="135" t="s">
        <v>175</v>
      </c>
      <c r="BA83" s="38">
        <v>35</v>
      </c>
      <c r="BB83" s="38">
        <v>2024</v>
      </c>
    </row>
    <row r="84" spans="40:54" x14ac:dyDescent="0.25">
      <c r="AN84" s="76"/>
      <c r="AO84" s="38" t="s">
        <v>82</v>
      </c>
      <c r="AP84" s="108">
        <v>1</v>
      </c>
      <c r="AQ84" s="65">
        <v>2019</v>
      </c>
      <c r="AW84" s="38" t="s">
        <v>66</v>
      </c>
      <c r="AX84" s="136">
        <f t="shared" si="2"/>
        <v>0.53333333333333333</v>
      </c>
      <c r="AY84" s="76">
        <v>16</v>
      </c>
      <c r="AZ84" s="135" t="s">
        <v>175</v>
      </c>
      <c r="BA84" s="73">
        <v>30</v>
      </c>
      <c r="BB84" s="65">
        <v>2015</v>
      </c>
    </row>
    <row r="85" spans="40:54" x14ac:dyDescent="0.25">
      <c r="AN85" s="76"/>
      <c r="AO85" s="38" t="s">
        <v>54</v>
      </c>
      <c r="AP85" s="108">
        <v>1</v>
      </c>
      <c r="AQ85" s="65">
        <v>2019</v>
      </c>
      <c r="AW85" s="38" t="s">
        <v>68</v>
      </c>
      <c r="AX85" s="136">
        <f t="shared" si="2"/>
        <v>0.53333333333333333</v>
      </c>
      <c r="AY85" s="76">
        <v>16</v>
      </c>
      <c r="AZ85" s="135" t="s">
        <v>175</v>
      </c>
      <c r="BA85" s="73">
        <v>30</v>
      </c>
      <c r="BB85" s="65">
        <v>2015</v>
      </c>
    </row>
    <row r="86" spans="40:54" x14ac:dyDescent="0.25">
      <c r="AN86" s="76"/>
      <c r="AO86" s="38" t="s">
        <v>36</v>
      </c>
      <c r="AP86" s="108">
        <v>1</v>
      </c>
      <c r="AQ86" s="65">
        <v>2018</v>
      </c>
      <c r="AW86" s="38" t="s">
        <v>50</v>
      </c>
      <c r="AX86" s="136">
        <f t="shared" si="2"/>
        <v>0.53125</v>
      </c>
      <c r="AY86" s="76">
        <v>17</v>
      </c>
      <c r="AZ86" s="135" t="s">
        <v>175</v>
      </c>
      <c r="BA86" s="73">
        <v>32</v>
      </c>
      <c r="BB86" s="65">
        <v>2022</v>
      </c>
    </row>
    <row r="87" spans="40:54" x14ac:dyDescent="0.25">
      <c r="AN87" s="76"/>
      <c r="AO87" s="38" t="s">
        <v>56</v>
      </c>
      <c r="AP87" s="108">
        <v>1</v>
      </c>
      <c r="AQ87" s="65">
        <v>2018</v>
      </c>
      <c r="AW87" s="38" t="s">
        <v>44</v>
      </c>
      <c r="AX87" s="136">
        <f t="shared" si="2"/>
        <v>0.53125</v>
      </c>
      <c r="AY87" s="76">
        <v>17</v>
      </c>
      <c r="AZ87" s="135" t="s">
        <v>175</v>
      </c>
      <c r="BA87" s="73">
        <v>32</v>
      </c>
      <c r="BB87" s="65">
        <v>2022</v>
      </c>
    </row>
    <row r="88" spans="40:54" x14ac:dyDescent="0.25">
      <c r="AN88" s="76"/>
      <c r="AO88" s="38" t="s">
        <v>75</v>
      </c>
      <c r="AP88" s="108">
        <v>1</v>
      </c>
      <c r="AQ88" s="65">
        <v>2017</v>
      </c>
      <c r="AW88" s="38" t="s">
        <v>56</v>
      </c>
      <c r="AX88" s="136">
        <f t="shared" si="2"/>
        <v>0.53125</v>
      </c>
      <c r="AY88" s="76">
        <v>17</v>
      </c>
      <c r="AZ88" s="135" t="s">
        <v>175</v>
      </c>
      <c r="BA88" s="73">
        <v>32</v>
      </c>
      <c r="BB88" s="65">
        <v>2022</v>
      </c>
    </row>
    <row r="89" spans="40:54" x14ac:dyDescent="0.25">
      <c r="AN89" s="76"/>
      <c r="AO89" s="38" t="s">
        <v>70</v>
      </c>
      <c r="AP89" s="108">
        <v>1</v>
      </c>
      <c r="AQ89" s="65">
        <v>2017</v>
      </c>
      <c r="AW89" s="38" t="s">
        <v>38</v>
      </c>
      <c r="AX89" s="136">
        <f t="shared" si="2"/>
        <v>0.53125</v>
      </c>
      <c r="AY89" s="76">
        <v>17</v>
      </c>
      <c r="AZ89" s="135" t="s">
        <v>175</v>
      </c>
      <c r="BA89" s="73">
        <v>32</v>
      </c>
      <c r="BB89" s="65">
        <v>2022</v>
      </c>
    </row>
    <row r="90" spans="40:54" x14ac:dyDescent="0.25">
      <c r="AN90" s="76"/>
      <c r="AO90" s="38" t="s">
        <v>48</v>
      </c>
      <c r="AP90" s="108">
        <v>1</v>
      </c>
      <c r="AQ90" s="65">
        <v>2017</v>
      </c>
      <c r="AW90" s="38" t="s">
        <v>59</v>
      </c>
      <c r="AX90" s="136">
        <f t="shared" si="2"/>
        <v>0.53125</v>
      </c>
      <c r="AY90" s="76">
        <v>17</v>
      </c>
      <c r="AZ90" s="135" t="s">
        <v>175</v>
      </c>
      <c r="BA90" s="73">
        <v>32</v>
      </c>
      <c r="BB90" s="65">
        <v>2021</v>
      </c>
    </row>
    <row r="91" spans="40:54" x14ac:dyDescent="0.25">
      <c r="AN91" s="76"/>
      <c r="AO91" s="38" t="s">
        <v>62</v>
      </c>
      <c r="AP91" s="108">
        <v>1</v>
      </c>
      <c r="AQ91" s="65">
        <v>2016</v>
      </c>
      <c r="AW91" s="38" t="s">
        <v>44</v>
      </c>
      <c r="AX91" s="136">
        <f t="shared" si="2"/>
        <v>0.53125</v>
      </c>
      <c r="AY91" s="76">
        <v>17</v>
      </c>
      <c r="AZ91" s="135" t="s">
        <v>175</v>
      </c>
      <c r="BA91" s="73">
        <v>32</v>
      </c>
      <c r="BB91" s="65">
        <v>2021</v>
      </c>
    </row>
    <row r="92" spans="40:54" x14ac:dyDescent="0.25">
      <c r="AN92" s="76"/>
      <c r="AO92" s="38" t="s">
        <v>53</v>
      </c>
      <c r="AP92" s="108">
        <v>1</v>
      </c>
      <c r="AQ92" s="65">
        <v>2015</v>
      </c>
      <c r="AW92" s="38" t="s">
        <v>61</v>
      </c>
      <c r="AX92" s="136">
        <f t="shared" si="2"/>
        <v>0.53125</v>
      </c>
      <c r="AY92" s="76">
        <v>17</v>
      </c>
      <c r="AZ92" s="135" t="s">
        <v>175</v>
      </c>
      <c r="BA92" s="73">
        <v>32</v>
      </c>
      <c r="BB92" s="65">
        <v>2021</v>
      </c>
    </row>
    <row r="93" spans="40:54" x14ac:dyDescent="0.25">
      <c r="AN93" s="76"/>
      <c r="AO93" s="38" t="s">
        <v>67</v>
      </c>
      <c r="AP93" s="108">
        <v>1</v>
      </c>
      <c r="AQ93" s="65">
        <v>2015</v>
      </c>
      <c r="AW93" s="38" t="s">
        <v>44</v>
      </c>
      <c r="AX93" s="136">
        <f t="shared" si="2"/>
        <v>0.53125</v>
      </c>
      <c r="AY93" s="76">
        <v>17</v>
      </c>
      <c r="AZ93" s="135" t="s">
        <v>175</v>
      </c>
      <c r="BA93" s="73">
        <v>32</v>
      </c>
      <c r="BB93" s="65">
        <v>2017</v>
      </c>
    </row>
    <row r="94" spans="40:54" x14ac:dyDescent="0.25">
      <c r="AN94" s="76"/>
      <c r="AO94" s="38" t="s">
        <v>70</v>
      </c>
      <c r="AP94" s="108">
        <v>1</v>
      </c>
      <c r="AQ94" s="65">
        <v>2015</v>
      </c>
      <c r="AW94" s="38" t="s">
        <v>43</v>
      </c>
      <c r="AX94" s="136">
        <f t="shared" si="2"/>
        <v>0.53125</v>
      </c>
      <c r="AY94" s="76">
        <v>17</v>
      </c>
      <c r="AZ94" s="135" t="s">
        <v>175</v>
      </c>
      <c r="BA94" s="73">
        <v>32</v>
      </c>
      <c r="BB94" s="65">
        <v>2017</v>
      </c>
    </row>
    <row r="95" spans="40:54" x14ac:dyDescent="0.25">
      <c r="AN95" s="76"/>
      <c r="AO95" s="38" t="s">
        <v>47</v>
      </c>
      <c r="AP95" s="108">
        <v>1</v>
      </c>
      <c r="AQ95" s="65">
        <v>2015</v>
      </c>
      <c r="AW95" s="38" t="s">
        <v>45</v>
      </c>
      <c r="AX95" s="136">
        <f t="shared" si="2"/>
        <v>0.53125</v>
      </c>
      <c r="AY95" s="76">
        <v>17</v>
      </c>
      <c r="AZ95" s="135" t="s">
        <v>175</v>
      </c>
      <c r="BA95" s="73">
        <v>32</v>
      </c>
      <c r="BB95" s="65">
        <v>2017</v>
      </c>
    </row>
    <row r="96" spans="40:54" x14ac:dyDescent="0.25">
      <c r="AN96" s="76"/>
      <c r="AO96" s="38" t="s">
        <v>60</v>
      </c>
      <c r="AP96" s="108">
        <v>1</v>
      </c>
      <c r="AQ96" s="65">
        <v>2015</v>
      </c>
      <c r="AW96" s="38" t="s">
        <v>54</v>
      </c>
      <c r="AX96" s="136">
        <f t="shared" si="2"/>
        <v>0.53125</v>
      </c>
      <c r="AY96" s="76">
        <v>17</v>
      </c>
      <c r="AZ96" s="135" t="s">
        <v>175</v>
      </c>
      <c r="BA96" s="73">
        <v>32</v>
      </c>
      <c r="BB96" s="65">
        <v>2017</v>
      </c>
    </row>
    <row r="97" spans="40:54" x14ac:dyDescent="0.25">
      <c r="AN97" s="76"/>
      <c r="AO97" s="38" t="s">
        <v>56</v>
      </c>
      <c r="AP97" s="108">
        <v>1</v>
      </c>
      <c r="AQ97" s="65">
        <v>2015</v>
      </c>
      <c r="AW97" s="38" t="s">
        <v>47</v>
      </c>
      <c r="AX97" s="136">
        <f t="shared" si="2"/>
        <v>0.53125</v>
      </c>
      <c r="AY97" s="76">
        <v>17</v>
      </c>
      <c r="AZ97" s="135" t="s">
        <v>175</v>
      </c>
      <c r="BA97" s="73">
        <v>32</v>
      </c>
      <c r="BB97" s="65">
        <v>2017</v>
      </c>
    </row>
    <row r="98" spans="40:54" x14ac:dyDescent="0.25">
      <c r="AN98" s="76"/>
      <c r="AO98" s="38" t="s">
        <v>48</v>
      </c>
      <c r="AP98" s="108">
        <v>1</v>
      </c>
      <c r="AQ98" s="65">
        <v>2015</v>
      </c>
      <c r="AW98" s="38" t="s">
        <v>60</v>
      </c>
      <c r="AX98" s="136">
        <f t="shared" si="2"/>
        <v>0.52941176470588236</v>
      </c>
      <c r="AY98" s="76">
        <v>18</v>
      </c>
      <c r="AZ98" s="135" t="s">
        <v>175</v>
      </c>
      <c r="BA98" s="73">
        <v>34</v>
      </c>
      <c r="BB98" s="65">
        <v>2020</v>
      </c>
    </row>
    <row r="99" spans="40:54" x14ac:dyDescent="0.25">
      <c r="AN99" s="76"/>
      <c r="AO99" s="38" t="s">
        <v>48</v>
      </c>
      <c r="AP99" s="108">
        <v>0.91666666666666663</v>
      </c>
      <c r="AQ99" s="65">
        <v>2016</v>
      </c>
      <c r="AW99" s="38" t="s">
        <v>39</v>
      </c>
      <c r="AX99" s="136">
        <f t="shared" si="2"/>
        <v>0.52941176470588236</v>
      </c>
      <c r="AY99" s="76">
        <v>18</v>
      </c>
      <c r="AZ99" s="135" t="s">
        <v>175</v>
      </c>
      <c r="BA99" s="73">
        <v>34</v>
      </c>
      <c r="BB99" s="65">
        <v>2019</v>
      </c>
    </row>
    <row r="100" spans="40:54" x14ac:dyDescent="0.25">
      <c r="AN100" s="76"/>
      <c r="AO100" s="38" t="s">
        <v>40</v>
      </c>
      <c r="AP100" s="108">
        <v>0.875</v>
      </c>
      <c r="AQ100" s="65">
        <v>2019</v>
      </c>
      <c r="AW100" s="38" t="s">
        <v>54</v>
      </c>
      <c r="AX100" s="175">
        <f t="shared" si="2"/>
        <v>0.52857142857142858</v>
      </c>
      <c r="AY100" s="38">
        <v>18.5</v>
      </c>
      <c r="AZ100" s="135" t="s">
        <v>175</v>
      </c>
      <c r="BA100" s="73">
        <v>35</v>
      </c>
      <c r="BB100" s="65">
        <v>2025</v>
      </c>
    </row>
    <row r="101" spans="40:54" x14ac:dyDescent="0.25">
      <c r="AN101" s="112"/>
      <c r="AO101" s="90" t="s">
        <v>62</v>
      </c>
      <c r="AP101" s="113">
        <v>0.83333333333333326</v>
      </c>
      <c r="AQ101" s="114">
        <v>2020</v>
      </c>
      <c r="AW101" s="38" t="s">
        <v>48</v>
      </c>
      <c r="AX101" s="136">
        <f t="shared" si="2"/>
        <v>0.52857142857142858</v>
      </c>
      <c r="AY101" s="38">
        <v>18.5</v>
      </c>
      <c r="AZ101" s="135" t="s">
        <v>175</v>
      </c>
      <c r="BA101" s="38">
        <v>35</v>
      </c>
      <c r="BB101" s="38">
        <v>2024</v>
      </c>
    </row>
    <row r="102" spans="40:54" x14ac:dyDescent="0.25">
      <c r="AN102" s="76"/>
      <c r="AO102" s="38" t="s">
        <v>44</v>
      </c>
      <c r="AP102" s="108">
        <v>0.75</v>
      </c>
      <c r="AQ102" s="65">
        <v>2019</v>
      </c>
      <c r="AW102" s="38" t="s">
        <v>61</v>
      </c>
      <c r="AX102" s="136">
        <f t="shared" si="2"/>
        <v>0.52857142857142858</v>
      </c>
      <c r="AY102" s="38">
        <v>18.5</v>
      </c>
      <c r="AZ102" s="135" t="s">
        <v>175</v>
      </c>
      <c r="BA102" s="38">
        <v>35</v>
      </c>
      <c r="BB102" s="38">
        <v>2024</v>
      </c>
    </row>
    <row r="103" spans="40:54" x14ac:dyDescent="0.25">
      <c r="AN103" s="76"/>
      <c r="AO103" s="38" t="s">
        <v>196</v>
      </c>
      <c r="AP103" s="108">
        <v>0.7</v>
      </c>
      <c r="AQ103" s="65">
        <v>2024</v>
      </c>
      <c r="AW103" s="38" t="s">
        <v>216</v>
      </c>
      <c r="AX103" s="136">
        <f t="shared" si="2"/>
        <v>0.52857142857142858</v>
      </c>
      <c r="AY103" s="38">
        <v>18.5</v>
      </c>
      <c r="AZ103" s="135" t="s">
        <v>175</v>
      </c>
      <c r="BA103" s="38">
        <v>35</v>
      </c>
      <c r="BB103" s="38">
        <v>2024</v>
      </c>
    </row>
    <row r="104" spans="40:54" x14ac:dyDescent="0.25">
      <c r="AN104" s="76"/>
      <c r="AO104" s="38" t="s">
        <v>44</v>
      </c>
      <c r="AP104" s="108">
        <v>0.7</v>
      </c>
      <c r="AQ104" s="65">
        <v>2016</v>
      </c>
      <c r="AW104" s="38" t="s">
        <v>40</v>
      </c>
      <c r="AX104" s="136">
        <f t="shared" si="2"/>
        <v>0.51666666666666672</v>
      </c>
      <c r="AY104" s="76">
        <v>15.5</v>
      </c>
      <c r="AZ104" s="135" t="s">
        <v>175</v>
      </c>
      <c r="BA104" s="73">
        <v>30</v>
      </c>
      <c r="BB104" s="65">
        <v>2015</v>
      </c>
    </row>
    <row r="105" spans="40:54" x14ac:dyDescent="0.25">
      <c r="AN105" s="76"/>
      <c r="AO105" s="38" t="s">
        <v>66</v>
      </c>
      <c r="AP105" s="108">
        <v>0.7</v>
      </c>
      <c r="AQ105" s="65">
        <v>2016</v>
      </c>
      <c r="AW105" s="38" t="s">
        <v>44</v>
      </c>
      <c r="AX105" s="136">
        <f t="shared" si="2"/>
        <v>0.515625</v>
      </c>
      <c r="AY105" s="76">
        <v>16.5</v>
      </c>
      <c r="AZ105" s="135" t="s">
        <v>175</v>
      </c>
      <c r="BA105" s="73">
        <v>32</v>
      </c>
      <c r="BB105" s="65">
        <v>2023</v>
      </c>
    </row>
    <row r="106" spans="40:54" x14ac:dyDescent="0.25">
      <c r="AN106" s="76"/>
      <c r="AO106" s="38" t="s">
        <v>43</v>
      </c>
      <c r="AP106" s="108">
        <v>0.64285714285714279</v>
      </c>
      <c r="AQ106" s="65">
        <v>2017</v>
      </c>
      <c r="AW106" s="38" t="s">
        <v>60</v>
      </c>
      <c r="AX106" s="136">
        <f t="shared" si="2"/>
        <v>0.515625</v>
      </c>
      <c r="AY106" s="76">
        <v>16.5</v>
      </c>
      <c r="AZ106" s="135" t="s">
        <v>175</v>
      </c>
      <c r="BA106" s="73">
        <v>32</v>
      </c>
      <c r="BB106" s="65">
        <v>2022</v>
      </c>
    </row>
    <row r="107" spans="40:54" x14ac:dyDescent="0.25">
      <c r="AN107" s="76"/>
      <c r="AO107" s="38" t="s">
        <v>42</v>
      </c>
      <c r="AP107" s="108">
        <v>0.64285714285714279</v>
      </c>
      <c r="AQ107" s="65">
        <v>2017</v>
      </c>
      <c r="AW107" s="38" t="s">
        <v>190</v>
      </c>
      <c r="AX107" s="136">
        <f t="shared" si="2"/>
        <v>0.515625</v>
      </c>
      <c r="AY107" s="76">
        <v>16.5</v>
      </c>
      <c r="AZ107" s="135" t="s">
        <v>175</v>
      </c>
      <c r="BA107" s="73">
        <v>32</v>
      </c>
      <c r="BB107" s="65">
        <v>2022</v>
      </c>
    </row>
    <row r="108" spans="40:54" x14ac:dyDescent="0.25">
      <c r="AN108" s="76"/>
      <c r="AO108" s="38" t="s">
        <v>43</v>
      </c>
      <c r="AP108" s="108">
        <v>0.6166666666666667</v>
      </c>
      <c r="AQ108" s="65">
        <v>2016</v>
      </c>
      <c r="AW108" s="38" t="s">
        <v>195</v>
      </c>
      <c r="AX108" s="136">
        <f t="shared" si="2"/>
        <v>0.515625</v>
      </c>
      <c r="AY108" s="76">
        <v>16.5</v>
      </c>
      <c r="AZ108" s="135" t="s">
        <v>175</v>
      </c>
      <c r="BA108" s="73">
        <v>32</v>
      </c>
      <c r="BB108" s="65">
        <v>2022</v>
      </c>
    </row>
    <row r="109" spans="40:54" x14ac:dyDescent="0.25">
      <c r="AN109" s="76"/>
      <c r="AO109" s="38" t="s">
        <v>214</v>
      </c>
      <c r="AP109" s="108">
        <v>0.58333333333333326</v>
      </c>
      <c r="AQ109" s="65">
        <v>2024</v>
      </c>
      <c r="AW109" s="38" t="s">
        <v>54</v>
      </c>
      <c r="AX109" s="136">
        <f t="shared" si="2"/>
        <v>0.515625</v>
      </c>
      <c r="AY109" s="76">
        <v>16.5</v>
      </c>
      <c r="AZ109" s="135" t="s">
        <v>175</v>
      </c>
      <c r="BA109" s="73">
        <v>32</v>
      </c>
      <c r="BB109" s="65">
        <v>2021</v>
      </c>
    </row>
    <row r="110" spans="40:54" x14ac:dyDescent="0.25">
      <c r="AN110" s="76"/>
      <c r="AO110" s="38" t="s">
        <v>190</v>
      </c>
      <c r="AP110" s="108">
        <v>0.58333333333333326</v>
      </c>
      <c r="AQ110" s="65">
        <v>2022</v>
      </c>
      <c r="AW110" s="38" t="s">
        <v>45</v>
      </c>
      <c r="AX110" s="136">
        <f t="shared" si="2"/>
        <v>0.515625</v>
      </c>
      <c r="AY110" s="76">
        <v>16.5</v>
      </c>
      <c r="AZ110" s="135" t="s">
        <v>175</v>
      </c>
      <c r="BA110" s="73">
        <v>32</v>
      </c>
      <c r="BB110" s="65">
        <v>2021</v>
      </c>
    </row>
    <row r="111" spans="40:54" x14ac:dyDescent="0.25">
      <c r="AN111" s="76"/>
      <c r="AO111" s="38" t="s">
        <v>41</v>
      </c>
      <c r="AP111" s="132">
        <v>0.56666666666666665</v>
      </c>
      <c r="AQ111" s="65">
        <v>2025</v>
      </c>
      <c r="AW111" s="38" t="s">
        <v>41</v>
      </c>
      <c r="AX111" s="136">
        <f t="shared" si="2"/>
        <v>0.515625</v>
      </c>
      <c r="AY111" s="76">
        <v>16.5</v>
      </c>
      <c r="AZ111" s="135" t="s">
        <v>175</v>
      </c>
      <c r="BA111" s="73">
        <v>32</v>
      </c>
      <c r="BB111" s="65">
        <v>2021</v>
      </c>
    </row>
    <row r="112" spans="40:54" x14ac:dyDescent="0.25">
      <c r="AN112" s="76"/>
      <c r="AO112" s="38" t="s">
        <v>253</v>
      </c>
      <c r="AP112" s="132">
        <v>0.5</v>
      </c>
      <c r="AQ112" s="65">
        <v>2025</v>
      </c>
      <c r="AW112" s="38" t="s">
        <v>60</v>
      </c>
      <c r="AX112" s="136">
        <f t="shared" si="2"/>
        <v>0.515625</v>
      </c>
      <c r="AY112" s="76">
        <v>16.5</v>
      </c>
      <c r="AZ112" s="135" t="s">
        <v>175</v>
      </c>
      <c r="BA112" s="73">
        <v>32</v>
      </c>
      <c r="BB112" s="65">
        <v>2018</v>
      </c>
    </row>
    <row r="113" spans="40:54" x14ac:dyDescent="0.25">
      <c r="AN113" s="76"/>
      <c r="AO113" s="38" t="s">
        <v>55</v>
      </c>
      <c r="AP113" s="132">
        <v>0.5</v>
      </c>
      <c r="AQ113" s="65">
        <v>2025</v>
      </c>
      <c r="AW113" s="38" t="s">
        <v>78</v>
      </c>
      <c r="AX113" s="136">
        <f t="shared" si="2"/>
        <v>0.515625</v>
      </c>
      <c r="AY113" s="76">
        <v>16.5</v>
      </c>
      <c r="AZ113" s="135" t="s">
        <v>175</v>
      </c>
      <c r="BA113" s="73">
        <v>32</v>
      </c>
      <c r="BB113" s="65">
        <v>2017</v>
      </c>
    </row>
    <row r="114" spans="40:54" x14ac:dyDescent="0.25">
      <c r="AN114" s="76"/>
      <c r="AO114" s="38" t="s">
        <v>44</v>
      </c>
      <c r="AP114" s="108">
        <v>0.5</v>
      </c>
      <c r="AQ114" s="65">
        <v>2024</v>
      </c>
      <c r="AW114" s="38" t="s">
        <v>38</v>
      </c>
      <c r="AX114" s="136">
        <f t="shared" si="2"/>
        <v>0.51470588235294112</v>
      </c>
      <c r="AY114" s="76">
        <v>17.5</v>
      </c>
      <c r="AZ114" s="135" t="s">
        <v>175</v>
      </c>
      <c r="BA114" s="73">
        <v>34</v>
      </c>
      <c r="BB114" s="65">
        <v>2019</v>
      </c>
    </row>
    <row r="115" spans="40:54" x14ac:dyDescent="0.25">
      <c r="AN115" s="76"/>
      <c r="AO115" s="38" t="s">
        <v>42</v>
      </c>
      <c r="AP115" s="108">
        <v>0.5</v>
      </c>
      <c r="AQ115" s="65">
        <v>2024</v>
      </c>
      <c r="AW115" s="38" t="s">
        <v>44</v>
      </c>
      <c r="AX115" s="136">
        <f t="shared" si="2"/>
        <v>0.51470588235294112</v>
      </c>
      <c r="AY115" s="76">
        <v>17.5</v>
      </c>
      <c r="AZ115" s="135" t="s">
        <v>175</v>
      </c>
      <c r="BA115" s="73">
        <v>34</v>
      </c>
      <c r="BB115" s="65">
        <v>2019</v>
      </c>
    </row>
    <row r="116" spans="40:54" x14ac:dyDescent="0.25">
      <c r="AN116" s="76"/>
      <c r="AO116" s="38" t="s">
        <v>212</v>
      </c>
      <c r="AP116" s="132">
        <v>0.5</v>
      </c>
      <c r="AQ116" s="65">
        <v>2023</v>
      </c>
      <c r="AW116" s="38" t="s">
        <v>55</v>
      </c>
      <c r="AX116" s="175">
        <f t="shared" si="2"/>
        <v>0.51428571428571423</v>
      </c>
      <c r="AY116" s="38">
        <v>18</v>
      </c>
      <c r="AZ116" s="135" t="s">
        <v>175</v>
      </c>
      <c r="BA116" s="73">
        <v>35</v>
      </c>
      <c r="BB116" s="65">
        <v>2025</v>
      </c>
    </row>
    <row r="117" spans="40:54" x14ac:dyDescent="0.25">
      <c r="AN117" s="76"/>
      <c r="AO117" s="38" t="s">
        <v>191</v>
      </c>
      <c r="AP117" s="108">
        <v>0.5</v>
      </c>
      <c r="AQ117" s="65">
        <v>2022</v>
      </c>
      <c r="AW117" s="38" t="s">
        <v>42</v>
      </c>
      <c r="AX117" s="175">
        <f t="shared" si="2"/>
        <v>0.51428571428571423</v>
      </c>
      <c r="AY117" s="38">
        <v>18</v>
      </c>
      <c r="AZ117" s="135" t="s">
        <v>175</v>
      </c>
      <c r="BA117" s="73">
        <v>35</v>
      </c>
      <c r="BB117" s="65">
        <v>2025</v>
      </c>
    </row>
    <row r="118" spans="40:54" x14ac:dyDescent="0.25">
      <c r="AN118" s="76"/>
      <c r="AO118" s="38" t="s">
        <v>38</v>
      </c>
      <c r="AP118" s="108">
        <v>0.5</v>
      </c>
      <c r="AQ118" s="65">
        <v>2022</v>
      </c>
      <c r="AW118" s="38" t="s">
        <v>196</v>
      </c>
      <c r="AX118" s="136">
        <f t="shared" si="2"/>
        <v>0.51428571428571423</v>
      </c>
      <c r="AY118" s="38">
        <v>18</v>
      </c>
      <c r="AZ118" s="135" t="s">
        <v>175</v>
      </c>
      <c r="BA118" s="38">
        <v>35</v>
      </c>
      <c r="BB118" s="38">
        <v>2024</v>
      </c>
    </row>
    <row r="119" spans="40:54" x14ac:dyDescent="0.25">
      <c r="AN119" s="112"/>
      <c r="AO119" s="90" t="s">
        <v>40</v>
      </c>
      <c r="AP119" s="113">
        <v>0.5</v>
      </c>
      <c r="AQ119" s="114">
        <v>2022</v>
      </c>
      <c r="AW119" s="38" t="s">
        <v>53</v>
      </c>
      <c r="AX119" s="136">
        <f t="shared" si="2"/>
        <v>0.51428571428571423</v>
      </c>
      <c r="AY119" s="38">
        <v>18</v>
      </c>
      <c r="AZ119" s="135" t="s">
        <v>175</v>
      </c>
      <c r="BA119" s="38">
        <v>35</v>
      </c>
      <c r="BB119" s="38">
        <v>2024</v>
      </c>
    </row>
    <row r="120" spans="40:54" x14ac:dyDescent="0.25">
      <c r="AN120" s="76"/>
      <c r="AO120" s="38" t="s">
        <v>53</v>
      </c>
      <c r="AP120" s="108">
        <v>0.5</v>
      </c>
      <c r="AQ120" s="65">
        <v>2021</v>
      </c>
      <c r="AW120" s="38" t="s">
        <v>42</v>
      </c>
      <c r="AX120" s="136">
        <f t="shared" si="2"/>
        <v>0.51428571428571423</v>
      </c>
      <c r="AY120" s="38">
        <v>18</v>
      </c>
      <c r="AZ120" s="135" t="s">
        <v>175</v>
      </c>
      <c r="BA120" s="38">
        <v>35</v>
      </c>
      <c r="BB120" s="38">
        <v>2024</v>
      </c>
    </row>
    <row r="121" spans="40:54" x14ac:dyDescent="0.25">
      <c r="AN121" s="76"/>
      <c r="AO121" s="38" t="s">
        <v>40</v>
      </c>
      <c r="AP121" s="108">
        <v>0.5</v>
      </c>
      <c r="AQ121" s="65">
        <v>2021</v>
      </c>
      <c r="AW121" s="38" t="s">
        <v>55</v>
      </c>
      <c r="AX121" s="136">
        <f t="shared" si="2"/>
        <v>0.51428571428571423</v>
      </c>
      <c r="AY121" s="38">
        <v>18</v>
      </c>
      <c r="AZ121" s="135" t="s">
        <v>175</v>
      </c>
      <c r="BA121" s="38">
        <v>35</v>
      </c>
      <c r="BB121" s="38">
        <v>2024</v>
      </c>
    </row>
    <row r="122" spans="40:54" x14ac:dyDescent="0.25">
      <c r="AN122" s="76"/>
      <c r="AO122" s="38" t="s">
        <v>56</v>
      </c>
      <c r="AP122" s="108">
        <v>0.5</v>
      </c>
      <c r="AQ122" s="65">
        <v>2021</v>
      </c>
      <c r="AW122" s="38" t="s">
        <v>39</v>
      </c>
      <c r="AX122" s="175">
        <f t="shared" si="2"/>
        <v>0.5</v>
      </c>
      <c r="AY122" s="38">
        <v>17.5</v>
      </c>
      <c r="AZ122" s="135" t="s">
        <v>175</v>
      </c>
      <c r="BA122" s="73">
        <v>35</v>
      </c>
      <c r="BB122" s="65">
        <v>2025</v>
      </c>
    </row>
    <row r="123" spans="40:54" x14ac:dyDescent="0.25">
      <c r="AN123" s="76"/>
      <c r="AO123" s="38" t="s">
        <v>43</v>
      </c>
      <c r="AP123" s="108">
        <v>0.5</v>
      </c>
      <c r="AQ123" s="65">
        <v>2020</v>
      </c>
      <c r="AW123" s="38" t="s">
        <v>41</v>
      </c>
      <c r="AX123" s="136">
        <f t="shared" si="2"/>
        <v>0.5</v>
      </c>
      <c r="AY123" s="76">
        <v>16</v>
      </c>
      <c r="AZ123" s="135" t="s">
        <v>175</v>
      </c>
      <c r="BA123" s="73">
        <v>32</v>
      </c>
      <c r="BB123" s="65">
        <v>2023</v>
      </c>
    </row>
    <row r="124" spans="40:54" x14ac:dyDescent="0.25">
      <c r="AN124" s="76"/>
      <c r="AO124" s="38" t="s">
        <v>79</v>
      </c>
      <c r="AP124" s="108">
        <v>0.5</v>
      </c>
      <c r="AQ124" s="65">
        <v>2017</v>
      </c>
      <c r="AW124" s="38" t="s">
        <v>194</v>
      </c>
      <c r="AX124" s="136">
        <f t="shared" si="2"/>
        <v>0.5</v>
      </c>
      <c r="AY124" s="76">
        <v>16</v>
      </c>
      <c r="AZ124" s="135" t="s">
        <v>175</v>
      </c>
      <c r="BA124" s="73">
        <v>32</v>
      </c>
      <c r="BB124" s="65">
        <v>2022</v>
      </c>
    </row>
    <row r="125" spans="40:54" x14ac:dyDescent="0.25">
      <c r="AN125" s="76"/>
      <c r="AO125" s="38" t="s">
        <v>55</v>
      </c>
      <c r="AP125" s="108">
        <v>0.5</v>
      </c>
      <c r="AQ125" s="65">
        <v>2017</v>
      </c>
      <c r="AW125" s="38" t="s">
        <v>61</v>
      </c>
      <c r="AX125" s="136">
        <f t="shared" si="2"/>
        <v>0.5</v>
      </c>
      <c r="AY125" s="76">
        <v>16</v>
      </c>
      <c r="AZ125" s="135" t="s">
        <v>175</v>
      </c>
      <c r="BA125" s="73">
        <v>32</v>
      </c>
      <c r="BB125" s="65">
        <v>2022</v>
      </c>
    </row>
    <row r="126" spans="40:54" x14ac:dyDescent="0.25">
      <c r="AN126" s="76"/>
      <c r="AO126" s="38" t="s">
        <v>68</v>
      </c>
      <c r="AP126" s="108">
        <v>0.5</v>
      </c>
      <c r="AQ126" s="65">
        <v>2017</v>
      </c>
      <c r="AW126" s="38" t="s">
        <v>36</v>
      </c>
      <c r="AX126" s="136">
        <f t="shared" si="2"/>
        <v>0.5</v>
      </c>
      <c r="AY126" s="76">
        <v>16</v>
      </c>
      <c r="AZ126" s="135" t="s">
        <v>175</v>
      </c>
      <c r="BA126" s="73">
        <v>32</v>
      </c>
      <c r="BB126" s="65">
        <v>2021</v>
      </c>
    </row>
    <row r="127" spans="40:54" x14ac:dyDescent="0.25">
      <c r="AN127" s="76"/>
      <c r="AO127" s="38" t="s">
        <v>44</v>
      </c>
      <c r="AP127" s="108">
        <v>0.5</v>
      </c>
      <c r="AQ127" s="65">
        <v>2017</v>
      </c>
      <c r="AW127" s="38" t="s">
        <v>37</v>
      </c>
      <c r="AX127" s="136">
        <f t="shared" si="2"/>
        <v>0.5</v>
      </c>
      <c r="AY127" s="76">
        <v>16</v>
      </c>
      <c r="AZ127" s="135" t="s">
        <v>175</v>
      </c>
      <c r="BA127" s="73">
        <v>32</v>
      </c>
      <c r="BB127" s="65">
        <v>2021</v>
      </c>
    </row>
    <row r="128" spans="40:54" x14ac:dyDescent="0.25">
      <c r="AN128" s="76"/>
      <c r="AO128" s="38" t="s">
        <v>56</v>
      </c>
      <c r="AP128" s="108">
        <v>0.5</v>
      </c>
      <c r="AQ128" s="65">
        <v>2017</v>
      </c>
      <c r="AW128" s="38" t="s">
        <v>51</v>
      </c>
      <c r="AX128" s="136">
        <f t="shared" si="2"/>
        <v>0.5</v>
      </c>
      <c r="AY128" s="76">
        <v>16</v>
      </c>
      <c r="AZ128" s="135" t="s">
        <v>175</v>
      </c>
      <c r="BA128" s="73">
        <v>32</v>
      </c>
      <c r="BB128" s="65">
        <v>2021</v>
      </c>
    </row>
    <row r="129" spans="40:54" x14ac:dyDescent="0.25">
      <c r="AN129" s="76"/>
      <c r="AO129" s="38" t="s">
        <v>70</v>
      </c>
      <c r="AP129" s="108">
        <v>0.5</v>
      </c>
      <c r="AQ129" s="65">
        <v>2016</v>
      </c>
      <c r="AW129" s="38" t="s">
        <v>39</v>
      </c>
      <c r="AX129" s="136">
        <f t="shared" si="2"/>
        <v>0.5</v>
      </c>
      <c r="AY129" s="76">
        <v>17</v>
      </c>
      <c r="AZ129" s="135" t="s">
        <v>175</v>
      </c>
      <c r="BA129" s="73">
        <v>34</v>
      </c>
      <c r="BB129" s="65">
        <v>2020</v>
      </c>
    </row>
    <row r="130" spans="40:54" x14ac:dyDescent="0.25">
      <c r="AN130" s="76"/>
      <c r="AO130" s="38" t="s">
        <v>105</v>
      </c>
      <c r="AP130" s="108">
        <v>0.5</v>
      </c>
      <c r="AQ130" s="65">
        <v>2015</v>
      </c>
      <c r="AW130" s="38" t="s">
        <v>52</v>
      </c>
      <c r="AX130" s="136">
        <f t="shared" si="2"/>
        <v>0.5</v>
      </c>
      <c r="AY130" s="76">
        <v>17</v>
      </c>
      <c r="AZ130" s="135" t="s">
        <v>175</v>
      </c>
      <c r="BA130" s="73">
        <v>34</v>
      </c>
      <c r="BB130" s="65">
        <v>2020</v>
      </c>
    </row>
    <row r="131" spans="40:54" x14ac:dyDescent="0.25">
      <c r="AN131" s="76"/>
      <c r="AO131" s="38" t="s">
        <v>46</v>
      </c>
      <c r="AP131" s="132">
        <v>0.45</v>
      </c>
      <c r="AQ131" s="65">
        <v>2025</v>
      </c>
      <c r="AW131" s="38" t="s">
        <v>36</v>
      </c>
      <c r="AX131" s="136">
        <f t="shared" si="2"/>
        <v>0.5</v>
      </c>
      <c r="AY131" s="76">
        <v>17</v>
      </c>
      <c r="AZ131" s="135" t="s">
        <v>175</v>
      </c>
      <c r="BA131" s="73">
        <v>34</v>
      </c>
      <c r="BB131" s="65">
        <v>2020</v>
      </c>
    </row>
    <row r="132" spans="40:54" x14ac:dyDescent="0.25">
      <c r="AN132" s="76"/>
      <c r="AO132" s="38" t="s">
        <v>39</v>
      </c>
      <c r="AP132" s="108">
        <v>0.45</v>
      </c>
      <c r="AQ132" s="65">
        <v>2024</v>
      </c>
      <c r="AW132" s="38" t="s">
        <v>50</v>
      </c>
      <c r="AX132" s="136">
        <f t="shared" ref="AX132:AX195" si="3">AY132/BA132</f>
        <v>0.5</v>
      </c>
      <c r="AY132" s="76">
        <v>17</v>
      </c>
      <c r="AZ132" s="135" t="s">
        <v>175</v>
      </c>
      <c r="BA132" s="73">
        <v>34</v>
      </c>
      <c r="BB132" s="65">
        <v>2019</v>
      </c>
    </row>
    <row r="133" spans="40:54" x14ac:dyDescent="0.25">
      <c r="AN133" s="76"/>
      <c r="AO133" s="38" t="s">
        <v>53</v>
      </c>
      <c r="AP133" s="132">
        <v>0.41666666666666663</v>
      </c>
      <c r="AQ133" s="65">
        <v>2025</v>
      </c>
      <c r="AW133" s="38" t="s">
        <v>46</v>
      </c>
      <c r="AX133" s="136">
        <f t="shared" si="3"/>
        <v>0.5</v>
      </c>
      <c r="AY133" s="76">
        <v>17</v>
      </c>
      <c r="AZ133" s="135" t="s">
        <v>175</v>
      </c>
      <c r="BA133" s="73">
        <v>34</v>
      </c>
      <c r="BB133" s="65">
        <v>2019</v>
      </c>
    </row>
    <row r="134" spans="40:54" x14ac:dyDescent="0.25">
      <c r="AN134" s="76"/>
      <c r="AO134" s="38" t="s">
        <v>54</v>
      </c>
      <c r="AP134" s="132">
        <v>0.3666666666666667</v>
      </c>
      <c r="AQ134" s="65">
        <v>2025</v>
      </c>
      <c r="AW134" s="38" t="s">
        <v>36</v>
      </c>
      <c r="AX134" s="136">
        <f t="shared" si="3"/>
        <v>0.5</v>
      </c>
      <c r="AY134" s="76">
        <v>17</v>
      </c>
      <c r="AZ134" s="135" t="s">
        <v>175</v>
      </c>
      <c r="BA134" s="73">
        <v>34</v>
      </c>
      <c r="BB134" s="65">
        <v>2019</v>
      </c>
    </row>
    <row r="135" spans="40:54" x14ac:dyDescent="0.25">
      <c r="AN135" s="76"/>
      <c r="AO135" s="38" t="s">
        <v>53</v>
      </c>
      <c r="AP135" s="108">
        <v>0.33333333333333331</v>
      </c>
      <c r="AQ135" s="65">
        <v>2024</v>
      </c>
      <c r="AW135" s="38" t="s">
        <v>39</v>
      </c>
      <c r="AX135" s="136">
        <f t="shared" si="3"/>
        <v>0.5</v>
      </c>
      <c r="AY135" s="76">
        <v>16</v>
      </c>
      <c r="AZ135" s="135" t="s">
        <v>175</v>
      </c>
      <c r="BA135" s="73">
        <v>32</v>
      </c>
      <c r="BB135" s="65">
        <v>2018</v>
      </c>
    </row>
    <row r="136" spans="40:54" x14ac:dyDescent="0.25">
      <c r="AN136" s="76"/>
      <c r="AO136" s="38" t="s">
        <v>191</v>
      </c>
      <c r="AP136" s="108">
        <v>0.33333333333333331</v>
      </c>
      <c r="AQ136" s="65">
        <v>2024</v>
      </c>
      <c r="AW136" s="38" t="s">
        <v>52</v>
      </c>
      <c r="AX136" s="136">
        <f t="shared" si="3"/>
        <v>0.5</v>
      </c>
      <c r="AY136" s="76">
        <v>16</v>
      </c>
      <c r="AZ136" s="135" t="s">
        <v>175</v>
      </c>
      <c r="BA136" s="73">
        <v>32</v>
      </c>
      <c r="BB136" s="65">
        <v>2018</v>
      </c>
    </row>
    <row r="137" spans="40:54" x14ac:dyDescent="0.25">
      <c r="AN137" s="76"/>
      <c r="AO137" s="38" t="s">
        <v>61</v>
      </c>
      <c r="AP137" s="132">
        <v>0.33333333333333331</v>
      </c>
      <c r="AQ137" s="65">
        <v>2023</v>
      </c>
      <c r="AW137" s="38" t="s">
        <v>76</v>
      </c>
      <c r="AX137" s="136">
        <f t="shared" si="3"/>
        <v>0.5</v>
      </c>
      <c r="AY137" s="76">
        <v>16</v>
      </c>
      <c r="AZ137" s="135" t="s">
        <v>175</v>
      </c>
      <c r="BA137" s="73">
        <v>32</v>
      </c>
      <c r="BB137" s="65">
        <v>2017</v>
      </c>
    </row>
    <row r="138" spans="40:54" x14ac:dyDescent="0.25">
      <c r="AN138" s="76"/>
      <c r="AO138" s="38" t="s">
        <v>191</v>
      </c>
      <c r="AP138" s="132">
        <v>0.33333333333333331</v>
      </c>
      <c r="AQ138" s="65">
        <v>2023</v>
      </c>
      <c r="AW138" s="38" t="s">
        <v>77</v>
      </c>
      <c r="AX138" s="136">
        <f t="shared" si="3"/>
        <v>0.5</v>
      </c>
      <c r="AY138" s="76">
        <v>16</v>
      </c>
      <c r="AZ138" s="135" t="s">
        <v>175</v>
      </c>
      <c r="BA138" s="73">
        <v>32</v>
      </c>
      <c r="BB138" s="65">
        <v>2017</v>
      </c>
    </row>
    <row r="139" spans="40:54" x14ac:dyDescent="0.25">
      <c r="AN139" s="76"/>
      <c r="AO139" s="38" t="s">
        <v>57</v>
      </c>
      <c r="AP139" s="132">
        <v>0.33333333333333331</v>
      </c>
      <c r="AQ139" s="65">
        <v>2023</v>
      </c>
      <c r="AW139" s="38" t="s">
        <v>43</v>
      </c>
      <c r="AX139" s="136">
        <f t="shared" si="3"/>
        <v>0.5</v>
      </c>
      <c r="AY139" s="76">
        <v>15</v>
      </c>
      <c r="AZ139" s="135" t="s">
        <v>175</v>
      </c>
      <c r="BA139" s="73">
        <v>30</v>
      </c>
      <c r="BB139" s="65">
        <v>2016</v>
      </c>
    </row>
    <row r="140" spans="40:54" x14ac:dyDescent="0.25">
      <c r="AN140" s="76"/>
      <c r="AO140" s="38" t="s">
        <v>42</v>
      </c>
      <c r="AP140" s="132">
        <v>0.33333333333333331</v>
      </c>
      <c r="AQ140" s="65">
        <v>2023</v>
      </c>
      <c r="AW140" s="38" t="s">
        <v>39</v>
      </c>
      <c r="AX140" s="136">
        <f t="shared" si="3"/>
        <v>0.5</v>
      </c>
      <c r="AY140" s="76">
        <v>15</v>
      </c>
      <c r="AZ140" s="135" t="s">
        <v>175</v>
      </c>
      <c r="BA140" s="73">
        <v>30</v>
      </c>
      <c r="BB140" s="65">
        <v>2016</v>
      </c>
    </row>
    <row r="141" spans="40:54" x14ac:dyDescent="0.25">
      <c r="AN141" s="76"/>
      <c r="AO141" s="38" t="s">
        <v>56</v>
      </c>
      <c r="AP141" s="132">
        <v>0.33333333333333331</v>
      </c>
      <c r="AQ141" s="65">
        <v>2023</v>
      </c>
      <c r="AW141" s="38" t="s">
        <v>53</v>
      </c>
      <c r="AX141" s="136">
        <f t="shared" si="3"/>
        <v>0.5</v>
      </c>
      <c r="AY141" s="76">
        <v>15</v>
      </c>
      <c r="AZ141" s="135" t="s">
        <v>175</v>
      </c>
      <c r="BA141" s="73">
        <v>30</v>
      </c>
      <c r="BB141" s="65">
        <v>2015</v>
      </c>
    </row>
    <row r="142" spans="40:54" x14ac:dyDescent="0.25">
      <c r="AN142" s="76"/>
      <c r="AO142" s="38" t="s">
        <v>46</v>
      </c>
      <c r="AP142" s="132">
        <v>0.33333333333333331</v>
      </c>
      <c r="AQ142" s="65">
        <v>2023</v>
      </c>
      <c r="AW142" s="38" t="s">
        <v>59</v>
      </c>
      <c r="AX142" s="175">
        <f t="shared" si="3"/>
        <v>0.48571428571428571</v>
      </c>
      <c r="AY142" s="38">
        <v>17</v>
      </c>
      <c r="AZ142" s="135" t="s">
        <v>175</v>
      </c>
      <c r="BA142" s="73">
        <v>35</v>
      </c>
      <c r="BB142" s="65">
        <v>2025</v>
      </c>
    </row>
    <row r="143" spans="40:54" x14ac:dyDescent="0.25">
      <c r="AN143" s="76"/>
      <c r="AO143" s="38" t="s">
        <v>54</v>
      </c>
      <c r="AP143" s="132">
        <v>0.33333333333333331</v>
      </c>
      <c r="AQ143" s="65">
        <v>2023</v>
      </c>
      <c r="AW143" s="38" t="s">
        <v>57</v>
      </c>
      <c r="AX143" s="175">
        <f t="shared" si="3"/>
        <v>0.48571428571428571</v>
      </c>
      <c r="AY143" s="38">
        <v>17</v>
      </c>
      <c r="AZ143" s="135" t="s">
        <v>175</v>
      </c>
      <c r="BA143" s="73">
        <v>35</v>
      </c>
      <c r="BB143" s="65">
        <v>2025</v>
      </c>
    </row>
    <row r="144" spans="40:54" x14ac:dyDescent="0.25">
      <c r="AN144" s="76"/>
      <c r="AO144" s="38" t="s">
        <v>59</v>
      </c>
      <c r="AP144" s="108">
        <v>0.33333333333333331</v>
      </c>
      <c r="AQ144" s="65">
        <v>2022</v>
      </c>
      <c r="AW144" s="38" t="s">
        <v>251</v>
      </c>
      <c r="AX144" s="175">
        <f t="shared" si="3"/>
        <v>0.48571428571428571</v>
      </c>
      <c r="AY144" s="38">
        <v>17</v>
      </c>
      <c r="AZ144" s="135" t="s">
        <v>175</v>
      </c>
      <c r="BA144" s="73">
        <v>35</v>
      </c>
      <c r="BB144" s="65">
        <v>2025</v>
      </c>
    </row>
    <row r="145" spans="40:54" x14ac:dyDescent="0.25">
      <c r="AN145" s="76"/>
      <c r="AO145" s="38" t="s">
        <v>251</v>
      </c>
      <c r="AP145" s="108">
        <v>0.33333333333333331</v>
      </c>
      <c r="AQ145" s="65">
        <v>2022</v>
      </c>
      <c r="AW145" s="38" t="s">
        <v>224</v>
      </c>
      <c r="AX145" s="136">
        <f t="shared" si="3"/>
        <v>0.48571428571428571</v>
      </c>
      <c r="AY145" s="38">
        <v>17</v>
      </c>
      <c r="AZ145" s="135" t="s">
        <v>175</v>
      </c>
      <c r="BA145" s="38">
        <v>35</v>
      </c>
      <c r="BB145" s="38">
        <v>2024</v>
      </c>
    </row>
    <row r="146" spans="40:54" x14ac:dyDescent="0.25">
      <c r="AN146" s="76"/>
      <c r="AO146" s="38" t="s">
        <v>56</v>
      </c>
      <c r="AP146" s="108">
        <v>0.33333333333333331</v>
      </c>
      <c r="AQ146" s="65">
        <v>2020</v>
      </c>
      <c r="AW146" s="38" t="s">
        <v>50</v>
      </c>
      <c r="AX146" s="136">
        <f t="shared" si="3"/>
        <v>0.48571428571428571</v>
      </c>
      <c r="AY146" s="38">
        <v>17</v>
      </c>
      <c r="AZ146" s="135" t="s">
        <v>175</v>
      </c>
      <c r="BA146" s="38">
        <v>35</v>
      </c>
      <c r="BB146" s="38">
        <v>2024</v>
      </c>
    </row>
    <row r="147" spans="40:54" x14ac:dyDescent="0.25">
      <c r="AN147" s="76"/>
      <c r="AO147" s="38" t="s">
        <v>48</v>
      </c>
      <c r="AP147" s="108">
        <v>0.33333333333333331</v>
      </c>
      <c r="AQ147" s="65">
        <v>2020</v>
      </c>
      <c r="AW147" s="38" t="s">
        <v>43</v>
      </c>
      <c r="AX147" s="136">
        <f t="shared" si="3"/>
        <v>0.48571428571428571</v>
      </c>
      <c r="AY147" s="38">
        <v>17</v>
      </c>
      <c r="AZ147" s="135" t="s">
        <v>175</v>
      </c>
      <c r="BA147" s="38">
        <v>35</v>
      </c>
      <c r="BB147" s="38">
        <v>2024</v>
      </c>
    </row>
    <row r="148" spans="40:54" x14ac:dyDescent="0.25">
      <c r="AN148" s="76"/>
      <c r="AO148" s="38" t="s">
        <v>82</v>
      </c>
      <c r="AP148" s="108">
        <v>0.33333333333333331</v>
      </c>
      <c r="AQ148" s="65">
        <v>2018</v>
      </c>
      <c r="AW148" s="38" t="s">
        <v>60</v>
      </c>
      <c r="AX148" s="136">
        <f t="shared" si="3"/>
        <v>0.48529411764705882</v>
      </c>
      <c r="AY148" s="76">
        <v>16.5</v>
      </c>
      <c r="AZ148" s="135" t="s">
        <v>175</v>
      </c>
      <c r="BA148" s="73">
        <v>34</v>
      </c>
      <c r="BB148" s="65">
        <v>2019</v>
      </c>
    </row>
    <row r="149" spans="40:54" x14ac:dyDescent="0.25">
      <c r="AN149" s="76"/>
      <c r="AO149" s="38" t="s">
        <v>77</v>
      </c>
      <c r="AP149" s="108">
        <v>0.33333333333333331</v>
      </c>
      <c r="AQ149" s="65">
        <v>2017</v>
      </c>
      <c r="AW149" s="38" t="s">
        <v>46</v>
      </c>
      <c r="AX149" s="136">
        <f t="shared" si="3"/>
        <v>0.484375</v>
      </c>
      <c r="AY149" s="76">
        <v>15.5</v>
      </c>
      <c r="AZ149" s="135" t="s">
        <v>175</v>
      </c>
      <c r="BA149" s="73">
        <v>32</v>
      </c>
      <c r="BB149" s="65">
        <v>2021</v>
      </c>
    </row>
    <row r="150" spans="40:54" x14ac:dyDescent="0.25">
      <c r="AN150" s="76"/>
      <c r="AO150" s="38" t="s">
        <v>45</v>
      </c>
      <c r="AP150" s="108">
        <v>0.33333333333333331</v>
      </c>
      <c r="AQ150" s="65">
        <v>2017</v>
      </c>
      <c r="AW150" s="38" t="s">
        <v>62</v>
      </c>
      <c r="AX150" s="136">
        <f t="shared" si="3"/>
        <v>0.484375</v>
      </c>
      <c r="AY150" s="76">
        <v>15.5</v>
      </c>
      <c r="AZ150" s="135" t="s">
        <v>175</v>
      </c>
      <c r="BA150" s="73">
        <v>32</v>
      </c>
      <c r="BB150" s="65">
        <v>2017</v>
      </c>
    </row>
    <row r="151" spans="40:54" x14ac:dyDescent="0.25">
      <c r="AN151" s="76"/>
      <c r="AO151" s="38" t="s">
        <v>57</v>
      </c>
      <c r="AP151" s="132">
        <v>0.25</v>
      </c>
      <c r="AQ151" s="65">
        <v>2025</v>
      </c>
      <c r="AW151" s="38" t="s">
        <v>40</v>
      </c>
      <c r="AX151" s="136">
        <f t="shared" si="3"/>
        <v>0.48333333333333334</v>
      </c>
      <c r="AY151" s="76">
        <v>14.5</v>
      </c>
      <c r="AZ151" s="135" t="s">
        <v>175</v>
      </c>
      <c r="BA151" s="73">
        <v>30</v>
      </c>
      <c r="BB151" s="65">
        <v>2016</v>
      </c>
    </row>
    <row r="152" spans="40:54" x14ac:dyDescent="0.25">
      <c r="AN152" s="76"/>
      <c r="AO152" s="38" t="s">
        <v>216</v>
      </c>
      <c r="AP152" s="108">
        <v>0.25</v>
      </c>
      <c r="AQ152" s="65">
        <v>2024</v>
      </c>
      <c r="AW152" s="38" t="s">
        <v>50</v>
      </c>
      <c r="AX152" s="136">
        <f t="shared" si="3"/>
        <v>0.48333333333333334</v>
      </c>
      <c r="AY152" s="76">
        <v>14.5</v>
      </c>
      <c r="AZ152" s="135" t="s">
        <v>175</v>
      </c>
      <c r="BA152" s="73">
        <v>30</v>
      </c>
      <c r="BB152" s="65">
        <v>2016</v>
      </c>
    </row>
    <row r="153" spans="40:54" x14ac:dyDescent="0.25">
      <c r="AN153" s="76"/>
      <c r="AO153" s="38" t="s">
        <v>195</v>
      </c>
      <c r="AP153" s="132">
        <v>0.25</v>
      </c>
      <c r="AQ153" s="65">
        <v>2023</v>
      </c>
      <c r="AW153" s="38" t="s">
        <v>196</v>
      </c>
      <c r="AX153" s="175">
        <f t="shared" si="3"/>
        <v>0.47142857142857142</v>
      </c>
      <c r="AY153" s="38">
        <v>16.5</v>
      </c>
      <c r="AZ153" s="135" t="s">
        <v>175</v>
      </c>
      <c r="BA153" s="73">
        <v>35</v>
      </c>
      <c r="BB153" s="65">
        <v>2025</v>
      </c>
    </row>
    <row r="154" spans="40:54" x14ac:dyDescent="0.25">
      <c r="AN154" s="76"/>
      <c r="AO154" s="38" t="s">
        <v>214</v>
      </c>
      <c r="AP154" s="132">
        <v>0.25</v>
      </c>
      <c r="AQ154" s="65">
        <v>2023</v>
      </c>
      <c r="AW154" s="38" t="s">
        <v>194</v>
      </c>
      <c r="AX154" s="175">
        <f t="shared" si="3"/>
        <v>0.47142857142857142</v>
      </c>
      <c r="AY154" s="38">
        <v>16.5</v>
      </c>
      <c r="AZ154" s="135" t="s">
        <v>175</v>
      </c>
      <c r="BA154" s="73">
        <v>35</v>
      </c>
      <c r="BB154" s="65">
        <v>2025</v>
      </c>
    </row>
    <row r="155" spans="40:54" x14ac:dyDescent="0.25">
      <c r="AN155" s="76"/>
      <c r="AO155" s="38" t="s">
        <v>53</v>
      </c>
      <c r="AP155" s="108">
        <v>0.25</v>
      </c>
      <c r="AQ155" s="65">
        <v>2022</v>
      </c>
      <c r="AW155" s="38" t="s">
        <v>214</v>
      </c>
      <c r="AX155" s="136">
        <f t="shared" si="3"/>
        <v>0.47142857142857142</v>
      </c>
      <c r="AY155" s="38">
        <v>16.5</v>
      </c>
      <c r="AZ155" s="135" t="s">
        <v>175</v>
      </c>
      <c r="BA155" s="38">
        <v>35</v>
      </c>
      <c r="BB155" s="38">
        <v>2024</v>
      </c>
    </row>
    <row r="156" spans="40:54" x14ac:dyDescent="0.25">
      <c r="AN156" s="76"/>
      <c r="AO156" s="38" t="s">
        <v>195</v>
      </c>
      <c r="AP156" s="108">
        <v>0.25</v>
      </c>
      <c r="AQ156" s="65">
        <v>2022</v>
      </c>
      <c r="AW156" s="38" t="s">
        <v>62</v>
      </c>
      <c r="AX156" s="136">
        <f t="shared" si="3"/>
        <v>0.47058823529411764</v>
      </c>
      <c r="AY156" s="76">
        <v>16</v>
      </c>
      <c r="AZ156" s="135" t="s">
        <v>175</v>
      </c>
      <c r="BA156" s="73">
        <v>34</v>
      </c>
      <c r="BB156" s="65">
        <v>2020</v>
      </c>
    </row>
    <row r="157" spans="40:54" x14ac:dyDescent="0.25">
      <c r="AN157" s="76"/>
      <c r="AO157" s="38" t="s">
        <v>51</v>
      </c>
      <c r="AP157" s="108">
        <v>0.25</v>
      </c>
      <c r="AQ157" s="65">
        <v>2021</v>
      </c>
      <c r="AW157" s="38" t="s">
        <v>61</v>
      </c>
      <c r="AX157" s="136">
        <f t="shared" si="3"/>
        <v>0.47058823529411764</v>
      </c>
      <c r="AY157" s="76">
        <v>16</v>
      </c>
      <c r="AZ157" s="135" t="s">
        <v>175</v>
      </c>
      <c r="BA157" s="73">
        <v>34</v>
      </c>
      <c r="BB157" s="65">
        <v>2020</v>
      </c>
    </row>
    <row r="158" spans="40:54" x14ac:dyDescent="0.25">
      <c r="AN158" s="76"/>
      <c r="AO158" s="38" t="s">
        <v>43</v>
      </c>
      <c r="AP158" s="108">
        <v>0.25</v>
      </c>
      <c r="AQ158" s="65">
        <v>2021</v>
      </c>
      <c r="AW158" s="38" t="s">
        <v>54</v>
      </c>
      <c r="AX158" s="136">
        <f t="shared" si="3"/>
        <v>0.47058823529411764</v>
      </c>
      <c r="AY158" s="76">
        <v>16</v>
      </c>
      <c r="AZ158" s="135" t="s">
        <v>175</v>
      </c>
      <c r="BA158" s="73">
        <v>34</v>
      </c>
      <c r="BB158" s="65">
        <v>2020</v>
      </c>
    </row>
    <row r="159" spans="40:54" x14ac:dyDescent="0.25">
      <c r="AN159" s="76"/>
      <c r="AO159" s="38" t="s">
        <v>61</v>
      </c>
      <c r="AP159" s="108">
        <v>0.25</v>
      </c>
      <c r="AQ159" s="65">
        <v>2021</v>
      </c>
      <c r="AW159" s="38" t="s">
        <v>56</v>
      </c>
      <c r="AX159" s="136">
        <f t="shared" si="3"/>
        <v>0.47058823529411764</v>
      </c>
      <c r="AY159" s="76">
        <v>16</v>
      </c>
      <c r="AZ159" s="135" t="s">
        <v>175</v>
      </c>
      <c r="BA159" s="73">
        <v>34</v>
      </c>
      <c r="BB159" s="65">
        <v>2020</v>
      </c>
    </row>
    <row r="160" spans="40:54" x14ac:dyDescent="0.25">
      <c r="AN160" s="76"/>
      <c r="AO160" s="38" t="s">
        <v>52</v>
      </c>
      <c r="AP160" s="108">
        <v>0.25</v>
      </c>
      <c r="AQ160" s="65">
        <v>2021</v>
      </c>
      <c r="AW160" s="38" t="s">
        <v>50</v>
      </c>
      <c r="AX160" s="136">
        <f t="shared" si="3"/>
        <v>0.47058823529411764</v>
      </c>
      <c r="AY160" s="76">
        <v>16</v>
      </c>
      <c r="AZ160" s="135" t="s">
        <v>175</v>
      </c>
      <c r="BA160" s="73">
        <v>34</v>
      </c>
      <c r="BB160" s="65">
        <v>2020</v>
      </c>
    </row>
    <row r="161" spans="40:54" x14ac:dyDescent="0.25">
      <c r="AN161" s="76"/>
      <c r="AO161" s="38" t="s">
        <v>39</v>
      </c>
      <c r="AP161" s="108">
        <v>0.25</v>
      </c>
      <c r="AQ161" s="65">
        <v>2019</v>
      </c>
      <c r="AW161" s="38" t="s">
        <v>46</v>
      </c>
      <c r="AX161" s="136">
        <f t="shared" si="3"/>
        <v>0.47058823529411764</v>
      </c>
      <c r="AY161" s="76">
        <v>16</v>
      </c>
      <c r="AZ161" s="135" t="s">
        <v>175</v>
      </c>
      <c r="BA161" s="73">
        <v>34</v>
      </c>
      <c r="BB161" s="65">
        <v>2020</v>
      </c>
    </row>
    <row r="162" spans="40:54" x14ac:dyDescent="0.25">
      <c r="AN162" s="76"/>
      <c r="AO162" s="38" t="s">
        <v>51</v>
      </c>
      <c r="AP162" s="108">
        <v>0.25</v>
      </c>
      <c r="AQ162" s="65">
        <v>2016</v>
      </c>
      <c r="AW162" s="38" t="s">
        <v>191</v>
      </c>
      <c r="AX162" s="136">
        <f t="shared" si="3"/>
        <v>0.46875</v>
      </c>
      <c r="AY162" s="76">
        <v>15</v>
      </c>
      <c r="AZ162" s="135" t="s">
        <v>175</v>
      </c>
      <c r="BA162" s="73">
        <v>32</v>
      </c>
      <c r="BB162" s="65">
        <v>2023</v>
      </c>
    </row>
    <row r="163" spans="40:54" x14ac:dyDescent="0.25">
      <c r="AN163" s="76"/>
      <c r="AO163" s="38" t="s">
        <v>212</v>
      </c>
      <c r="AP163" s="132">
        <v>0.2</v>
      </c>
      <c r="AQ163" s="65">
        <v>2025</v>
      </c>
      <c r="AW163" s="38" t="s">
        <v>194</v>
      </c>
      <c r="AX163" s="136">
        <f t="shared" si="3"/>
        <v>0.46875</v>
      </c>
      <c r="AY163" s="76">
        <v>15</v>
      </c>
      <c r="AZ163" s="135" t="s">
        <v>175</v>
      </c>
      <c r="BA163" s="73">
        <v>32</v>
      </c>
      <c r="BB163" s="65">
        <v>2023</v>
      </c>
    </row>
    <row r="164" spans="40:54" x14ac:dyDescent="0.25">
      <c r="AN164" s="76"/>
      <c r="AO164" s="38" t="s">
        <v>48</v>
      </c>
      <c r="AP164" s="132">
        <v>0.2</v>
      </c>
      <c r="AQ164" s="65">
        <v>2025</v>
      </c>
      <c r="AW164" s="38" t="s">
        <v>214</v>
      </c>
      <c r="AX164" s="136">
        <f t="shared" si="3"/>
        <v>0.46875</v>
      </c>
      <c r="AY164" s="76">
        <v>15</v>
      </c>
      <c r="AZ164" s="135" t="s">
        <v>175</v>
      </c>
      <c r="BA164" s="73">
        <v>32</v>
      </c>
      <c r="BB164" s="65">
        <v>2023</v>
      </c>
    </row>
    <row r="165" spans="40:54" x14ac:dyDescent="0.25">
      <c r="AN165" s="76"/>
      <c r="AO165" s="38" t="s">
        <v>55</v>
      </c>
      <c r="AP165" s="108">
        <v>0.2</v>
      </c>
      <c r="AQ165" s="65">
        <v>2024</v>
      </c>
      <c r="AW165" s="38" t="s">
        <v>42</v>
      </c>
      <c r="AX165" s="136">
        <f t="shared" si="3"/>
        <v>0.46875</v>
      </c>
      <c r="AY165" s="76">
        <v>15</v>
      </c>
      <c r="AZ165" s="135" t="s">
        <v>175</v>
      </c>
      <c r="BA165" s="73">
        <v>32</v>
      </c>
      <c r="BB165" s="65">
        <v>2023</v>
      </c>
    </row>
    <row r="166" spans="40:54" x14ac:dyDescent="0.25">
      <c r="AN166" s="76"/>
      <c r="AO166" s="38" t="s">
        <v>239</v>
      </c>
      <c r="AP166" s="108">
        <v>0.2</v>
      </c>
      <c r="AQ166" s="65">
        <v>2024</v>
      </c>
      <c r="AW166" s="38" t="s">
        <v>46</v>
      </c>
      <c r="AX166" s="136">
        <f t="shared" si="3"/>
        <v>0.46875</v>
      </c>
      <c r="AY166" s="76">
        <v>15</v>
      </c>
      <c r="AZ166" s="135" t="s">
        <v>175</v>
      </c>
      <c r="BA166" s="73">
        <v>32</v>
      </c>
      <c r="BB166" s="65">
        <v>2023</v>
      </c>
    </row>
    <row r="167" spans="40:54" x14ac:dyDescent="0.25">
      <c r="AN167" s="76"/>
      <c r="AO167" s="38" t="s">
        <v>45</v>
      </c>
      <c r="AP167" s="108">
        <v>0.2</v>
      </c>
      <c r="AQ167" s="65">
        <v>2016</v>
      </c>
      <c r="AW167" s="38" t="s">
        <v>196</v>
      </c>
      <c r="AX167" s="136">
        <f t="shared" si="3"/>
        <v>0.46875</v>
      </c>
      <c r="AY167" s="76">
        <v>15</v>
      </c>
      <c r="AZ167" s="135" t="s">
        <v>175</v>
      </c>
      <c r="BA167" s="73">
        <v>32</v>
      </c>
      <c r="BB167" s="65">
        <v>2023</v>
      </c>
    </row>
    <row r="168" spans="40:54" x14ac:dyDescent="0.25">
      <c r="AN168" s="76"/>
      <c r="AO168" s="38" t="s">
        <v>39</v>
      </c>
      <c r="AP168" s="108">
        <v>0.2</v>
      </c>
      <c r="AQ168" s="65">
        <v>2016</v>
      </c>
      <c r="AW168" s="38" t="s">
        <v>57</v>
      </c>
      <c r="AX168" s="136">
        <f t="shared" si="3"/>
        <v>0.46875</v>
      </c>
      <c r="AY168" s="76">
        <v>15</v>
      </c>
      <c r="AZ168" s="135" t="s">
        <v>175</v>
      </c>
      <c r="BA168" s="73">
        <v>32</v>
      </c>
      <c r="BB168" s="65">
        <v>2022</v>
      </c>
    </row>
    <row r="169" spans="40:54" x14ac:dyDescent="0.25">
      <c r="AN169" s="76"/>
      <c r="AO169" s="38" t="s">
        <v>43</v>
      </c>
      <c r="AP169" s="132">
        <v>0.16666666666666666</v>
      </c>
      <c r="AQ169" s="65">
        <v>2025</v>
      </c>
      <c r="AW169" s="38" t="s">
        <v>39</v>
      </c>
      <c r="AX169" s="136">
        <f t="shared" si="3"/>
        <v>0.46875</v>
      </c>
      <c r="AY169" s="76">
        <v>15</v>
      </c>
      <c r="AZ169" s="135" t="s">
        <v>175</v>
      </c>
      <c r="BA169" s="73">
        <v>32</v>
      </c>
      <c r="BB169" s="65">
        <v>2021</v>
      </c>
    </row>
    <row r="170" spans="40:54" x14ac:dyDescent="0.25">
      <c r="AN170" s="76"/>
      <c r="AO170" s="38" t="s">
        <v>50</v>
      </c>
      <c r="AP170" s="108">
        <v>0.16666666666666666</v>
      </c>
      <c r="AQ170" s="65">
        <v>2016</v>
      </c>
      <c r="AW170" s="38" t="s">
        <v>43</v>
      </c>
      <c r="AX170" s="136">
        <f t="shared" si="3"/>
        <v>0.46875</v>
      </c>
      <c r="AY170" s="76">
        <v>15</v>
      </c>
      <c r="AZ170" s="135" t="s">
        <v>175</v>
      </c>
      <c r="BA170" s="73">
        <v>32</v>
      </c>
      <c r="BB170" s="65">
        <v>2021</v>
      </c>
    </row>
    <row r="171" spans="40:54" x14ac:dyDescent="0.25">
      <c r="AN171" s="76"/>
      <c r="AO171" s="38" t="s">
        <v>78</v>
      </c>
      <c r="AP171" s="108">
        <v>0.14285714285714285</v>
      </c>
      <c r="AQ171" s="65">
        <v>2017</v>
      </c>
      <c r="AW171" s="38" t="s">
        <v>52</v>
      </c>
      <c r="AX171" s="136">
        <f t="shared" si="3"/>
        <v>0.46875</v>
      </c>
      <c r="AY171" s="76">
        <v>15</v>
      </c>
      <c r="AZ171" s="135" t="s">
        <v>175</v>
      </c>
      <c r="BA171" s="73">
        <v>32</v>
      </c>
      <c r="BB171" s="65">
        <v>2021</v>
      </c>
    </row>
    <row r="172" spans="40:54" x14ac:dyDescent="0.25">
      <c r="AN172" s="76"/>
      <c r="AO172" s="38" t="s">
        <v>38</v>
      </c>
      <c r="AP172" s="108">
        <v>0.14285714285714285</v>
      </c>
      <c r="AQ172" s="65">
        <v>2017</v>
      </c>
      <c r="AW172" s="38" t="s">
        <v>42</v>
      </c>
      <c r="AX172" s="136">
        <f t="shared" si="3"/>
        <v>0.46875</v>
      </c>
      <c r="AY172" s="76">
        <v>15</v>
      </c>
      <c r="AZ172" s="135" t="s">
        <v>175</v>
      </c>
      <c r="BA172" s="73">
        <v>32</v>
      </c>
      <c r="BB172" s="65">
        <v>2018</v>
      </c>
    </row>
    <row r="173" spans="40:54" x14ac:dyDescent="0.25">
      <c r="AN173" s="76"/>
      <c r="AO173" s="38" t="s">
        <v>39</v>
      </c>
      <c r="AP173" s="108">
        <v>0.14285714285714285</v>
      </c>
      <c r="AQ173" s="65">
        <v>2017</v>
      </c>
      <c r="AW173" s="38" t="s">
        <v>36</v>
      </c>
      <c r="AX173" s="136">
        <f t="shared" si="3"/>
        <v>0.46875</v>
      </c>
      <c r="AY173" s="76">
        <v>15</v>
      </c>
      <c r="AZ173" s="135" t="s">
        <v>175</v>
      </c>
      <c r="BA173" s="73">
        <v>32</v>
      </c>
      <c r="BB173" s="65">
        <v>2018</v>
      </c>
    </row>
    <row r="174" spans="40:54" x14ac:dyDescent="0.25">
      <c r="AN174" s="76"/>
      <c r="AO174" s="38" t="s">
        <v>51</v>
      </c>
      <c r="AP174" s="108">
        <v>0.125</v>
      </c>
      <c r="AQ174" s="65">
        <v>2019</v>
      </c>
      <c r="AW174" s="38" t="s">
        <v>50</v>
      </c>
      <c r="AX174" s="136">
        <f t="shared" si="3"/>
        <v>0.46875</v>
      </c>
      <c r="AY174" s="76">
        <v>15</v>
      </c>
      <c r="AZ174" s="135" t="s">
        <v>175</v>
      </c>
      <c r="BA174" s="73">
        <v>32</v>
      </c>
      <c r="BB174" s="65">
        <v>2017</v>
      </c>
    </row>
    <row r="175" spans="40:54" x14ac:dyDescent="0.25">
      <c r="AN175" s="76"/>
      <c r="AO175" s="38" t="s">
        <v>52</v>
      </c>
      <c r="AP175" s="108">
        <v>0.125</v>
      </c>
      <c r="AQ175" s="65">
        <v>2019</v>
      </c>
      <c r="AW175" s="38" t="s">
        <v>39</v>
      </c>
      <c r="AX175" s="136">
        <f t="shared" si="3"/>
        <v>0.46875</v>
      </c>
      <c r="AY175" s="76">
        <v>15</v>
      </c>
      <c r="AZ175" s="135" t="s">
        <v>175</v>
      </c>
      <c r="BA175" s="73">
        <v>32</v>
      </c>
      <c r="BB175" s="65">
        <v>2017</v>
      </c>
    </row>
    <row r="176" spans="40:54" x14ac:dyDescent="0.25">
      <c r="AN176" s="76"/>
      <c r="AO176" s="38" t="s">
        <v>48</v>
      </c>
      <c r="AP176" s="108">
        <v>0.125</v>
      </c>
      <c r="AQ176" s="65">
        <v>2019</v>
      </c>
      <c r="AW176" s="38" t="s">
        <v>40</v>
      </c>
      <c r="AX176" s="136">
        <f t="shared" si="3"/>
        <v>0.46875</v>
      </c>
      <c r="AY176" s="76">
        <v>15</v>
      </c>
      <c r="AZ176" s="135" t="s">
        <v>175</v>
      </c>
      <c r="BA176" s="73">
        <v>32</v>
      </c>
      <c r="BB176" s="65">
        <v>2017</v>
      </c>
    </row>
    <row r="177" spans="49:54" x14ac:dyDescent="0.25">
      <c r="AW177" s="38" t="s">
        <v>55</v>
      </c>
      <c r="AX177" s="136">
        <f t="shared" si="3"/>
        <v>0.46666666666666667</v>
      </c>
      <c r="AY177" s="76">
        <v>14</v>
      </c>
      <c r="AZ177" s="135" t="s">
        <v>175</v>
      </c>
      <c r="BA177" s="73">
        <v>30</v>
      </c>
      <c r="BB177" s="65">
        <v>2016</v>
      </c>
    </row>
    <row r="178" spans="49:54" x14ac:dyDescent="0.25">
      <c r="AW178" s="38" t="s">
        <v>70</v>
      </c>
      <c r="AX178" s="136">
        <f t="shared" si="3"/>
        <v>0.46666666666666667</v>
      </c>
      <c r="AY178" s="76">
        <v>14</v>
      </c>
      <c r="AZ178" s="135" t="s">
        <v>175</v>
      </c>
      <c r="BA178" s="73">
        <v>30</v>
      </c>
      <c r="BB178" s="65">
        <v>2016</v>
      </c>
    </row>
    <row r="179" spans="49:54" x14ac:dyDescent="0.25">
      <c r="AW179" s="38" t="s">
        <v>50</v>
      </c>
      <c r="AX179" s="136">
        <f t="shared" si="3"/>
        <v>0.46666666666666667</v>
      </c>
      <c r="AY179" s="76">
        <v>14</v>
      </c>
      <c r="AZ179" s="135" t="s">
        <v>175</v>
      </c>
      <c r="BA179" s="73">
        <v>30</v>
      </c>
      <c r="BB179" s="65">
        <v>2015</v>
      </c>
    </row>
    <row r="180" spans="49:54" x14ac:dyDescent="0.25">
      <c r="AW180" s="38" t="s">
        <v>45</v>
      </c>
      <c r="AX180" s="136">
        <f t="shared" si="3"/>
        <v>0.46666666666666667</v>
      </c>
      <c r="AY180" s="76">
        <v>14</v>
      </c>
      <c r="AZ180" s="135" t="s">
        <v>175</v>
      </c>
      <c r="BA180" s="73">
        <v>30</v>
      </c>
      <c r="BB180" s="65">
        <v>2015</v>
      </c>
    </row>
    <row r="181" spans="49:54" x14ac:dyDescent="0.25">
      <c r="AW181" s="38" t="s">
        <v>212</v>
      </c>
      <c r="AX181" s="136">
        <f t="shared" si="3"/>
        <v>0.45714285714285713</v>
      </c>
      <c r="AY181" s="38">
        <v>16</v>
      </c>
      <c r="AZ181" s="135" t="s">
        <v>175</v>
      </c>
      <c r="BA181" s="38">
        <v>35</v>
      </c>
      <c r="BB181" s="38">
        <v>2024</v>
      </c>
    </row>
    <row r="182" spans="49:54" x14ac:dyDescent="0.25">
      <c r="AW182" s="38" t="s">
        <v>56</v>
      </c>
      <c r="AX182" s="136">
        <f t="shared" si="3"/>
        <v>0.45714285714285713</v>
      </c>
      <c r="AY182" s="38">
        <v>16</v>
      </c>
      <c r="AZ182" s="135" t="s">
        <v>175</v>
      </c>
      <c r="BA182" s="38">
        <v>35</v>
      </c>
      <c r="BB182" s="38">
        <v>2024</v>
      </c>
    </row>
    <row r="183" spans="49:54" x14ac:dyDescent="0.25">
      <c r="AW183" s="38" t="s">
        <v>251</v>
      </c>
      <c r="AX183" s="136">
        <f t="shared" si="3"/>
        <v>0.45714285714285713</v>
      </c>
      <c r="AY183" s="38">
        <v>16</v>
      </c>
      <c r="AZ183" s="135" t="s">
        <v>175</v>
      </c>
      <c r="BA183" s="38">
        <v>35</v>
      </c>
      <c r="BB183" s="38">
        <v>2024</v>
      </c>
    </row>
    <row r="184" spans="49:54" x14ac:dyDescent="0.25">
      <c r="AW184" s="38" t="s">
        <v>241</v>
      </c>
      <c r="AX184" s="136">
        <f t="shared" si="3"/>
        <v>0.45714285714285713</v>
      </c>
      <c r="AY184" s="38">
        <v>16</v>
      </c>
      <c r="AZ184" s="135" t="s">
        <v>175</v>
      </c>
      <c r="BA184" s="38">
        <v>35</v>
      </c>
      <c r="BB184" s="38">
        <v>2024</v>
      </c>
    </row>
    <row r="185" spans="49:54" x14ac:dyDescent="0.25">
      <c r="AW185" s="38" t="s">
        <v>36</v>
      </c>
      <c r="AX185" s="136">
        <f t="shared" si="3"/>
        <v>0.453125</v>
      </c>
      <c r="AY185" s="76">
        <v>14.5</v>
      </c>
      <c r="AZ185" s="135" t="s">
        <v>175</v>
      </c>
      <c r="BA185" s="73">
        <v>32</v>
      </c>
      <c r="BB185" s="65">
        <v>2023</v>
      </c>
    </row>
    <row r="186" spans="49:54" x14ac:dyDescent="0.25">
      <c r="AW186" s="38" t="s">
        <v>251</v>
      </c>
      <c r="AX186" s="136">
        <f t="shared" si="3"/>
        <v>0.453125</v>
      </c>
      <c r="AY186" s="76">
        <v>14.5</v>
      </c>
      <c r="AZ186" s="135" t="s">
        <v>175</v>
      </c>
      <c r="BA186" s="73">
        <v>32</v>
      </c>
      <c r="BB186" s="65">
        <v>2023</v>
      </c>
    </row>
    <row r="187" spans="49:54" x14ac:dyDescent="0.25">
      <c r="AW187" s="38" t="s">
        <v>53</v>
      </c>
      <c r="AX187" s="136">
        <f t="shared" si="3"/>
        <v>0.453125</v>
      </c>
      <c r="AY187" s="76">
        <v>14.5</v>
      </c>
      <c r="AZ187" s="135" t="s">
        <v>175</v>
      </c>
      <c r="BA187" s="73">
        <v>32</v>
      </c>
      <c r="BB187" s="65">
        <v>2022</v>
      </c>
    </row>
    <row r="188" spans="49:54" x14ac:dyDescent="0.25">
      <c r="AW188" s="38" t="s">
        <v>46</v>
      </c>
      <c r="AX188" s="136">
        <f t="shared" si="3"/>
        <v>0.453125</v>
      </c>
      <c r="AY188" s="76">
        <v>14.5</v>
      </c>
      <c r="AZ188" s="135" t="s">
        <v>175</v>
      </c>
      <c r="BA188" s="73">
        <v>32</v>
      </c>
      <c r="BB188" s="65">
        <v>2022</v>
      </c>
    </row>
    <row r="189" spans="49:54" x14ac:dyDescent="0.25">
      <c r="AW189" s="38" t="s">
        <v>42</v>
      </c>
      <c r="AX189" s="136">
        <f t="shared" si="3"/>
        <v>0.453125</v>
      </c>
      <c r="AY189" s="76">
        <v>14.5</v>
      </c>
      <c r="AZ189" s="135" t="s">
        <v>175</v>
      </c>
      <c r="BA189" s="73">
        <v>32</v>
      </c>
      <c r="BB189" s="65">
        <v>2021</v>
      </c>
    </row>
    <row r="190" spans="49:54" x14ac:dyDescent="0.25">
      <c r="AW190" s="38" t="s">
        <v>59</v>
      </c>
      <c r="AX190" s="136">
        <f t="shared" si="3"/>
        <v>0.453125</v>
      </c>
      <c r="AY190" s="76">
        <v>14.5</v>
      </c>
      <c r="AZ190" s="135" t="s">
        <v>175</v>
      </c>
      <c r="BA190" s="73">
        <v>32</v>
      </c>
      <c r="BB190" s="65">
        <v>2018</v>
      </c>
    </row>
    <row r="191" spans="49:54" x14ac:dyDescent="0.25">
      <c r="AW191" s="38" t="s">
        <v>45</v>
      </c>
      <c r="AX191" s="136">
        <f t="shared" si="3"/>
        <v>0.453125</v>
      </c>
      <c r="AY191" s="76">
        <v>14.5</v>
      </c>
      <c r="AZ191" s="135" t="s">
        <v>175</v>
      </c>
      <c r="BA191" s="73">
        <v>32</v>
      </c>
      <c r="BB191" s="65">
        <v>2018</v>
      </c>
    </row>
    <row r="192" spans="49:54" x14ac:dyDescent="0.25">
      <c r="AW192" s="38" t="s">
        <v>51</v>
      </c>
      <c r="AX192" s="136">
        <f t="shared" si="3"/>
        <v>0.453125</v>
      </c>
      <c r="AY192" s="76">
        <v>14.5</v>
      </c>
      <c r="AZ192" s="135" t="s">
        <v>175</v>
      </c>
      <c r="BA192" s="73">
        <v>32</v>
      </c>
      <c r="BB192" s="65">
        <v>2018</v>
      </c>
    </row>
    <row r="193" spans="49:54" x14ac:dyDescent="0.25">
      <c r="AW193" s="38" t="s">
        <v>55</v>
      </c>
      <c r="AX193" s="136">
        <f t="shared" si="3"/>
        <v>0.453125</v>
      </c>
      <c r="AY193" s="76">
        <v>14.5</v>
      </c>
      <c r="AZ193" s="135" t="s">
        <v>175</v>
      </c>
      <c r="BA193" s="73">
        <v>32</v>
      </c>
      <c r="BB193" s="65">
        <v>2017</v>
      </c>
    </row>
    <row r="194" spans="49:54" x14ac:dyDescent="0.25">
      <c r="AW194" s="38" t="s">
        <v>53</v>
      </c>
      <c r="AX194" s="136">
        <f t="shared" si="3"/>
        <v>0.453125</v>
      </c>
      <c r="AY194" s="76">
        <v>14.5</v>
      </c>
      <c r="AZ194" s="135" t="s">
        <v>175</v>
      </c>
      <c r="BA194" s="73">
        <v>32</v>
      </c>
      <c r="BB194" s="65">
        <v>2017</v>
      </c>
    </row>
    <row r="195" spans="49:54" x14ac:dyDescent="0.25">
      <c r="AW195" s="38" t="s">
        <v>60</v>
      </c>
      <c r="AX195" s="136">
        <f t="shared" si="3"/>
        <v>0.45</v>
      </c>
      <c r="AY195" s="76">
        <v>13.5</v>
      </c>
      <c r="AZ195" s="135" t="s">
        <v>175</v>
      </c>
      <c r="BA195" s="73">
        <v>30</v>
      </c>
      <c r="BB195" s="65">
        <v>2015</v>
      </c>
    </row>
    <row r="196" spans="49:54" x14ac:dyDescent="0.25">
      <c r="AW196" s="38" t="s">
        <v>71</v>
      </c>
      <c r="AX196" s="136">
        <f t="shared" ref="AX196:AX259" si="4">AY196/BA196</f>
        <v>0.45</v>
      </c>
      <c r="AY196" s="76">
        <v>13.5</v>
      </c>
      <c r="AZ196" s="135" t="s">
        <v>175</v>
      </c>
      <c r="BA196" s="73">
        <v>30</v>
      </c>
      <c r="BB196" s="65">
        <v>2015</v>
      </c>
    </row>
    <row r="197" spans="49:54" x14ac:dyDescent="0.25">
      <c r="AW197" s="38" t="s">
        <v>41</v>
      </c>
      <c r="AX197" s="136">
        <f t="shared" si="4"/>
        <v>0.44117647058823528</v>
      </c>
      <c r="AY197" s="76">
        <v>15</v>
      </c>
      <c r="AZ197" s="135" t="s">
        <v>175</v>
      </c>
      <c r="BA197" s="73">
        <v>34</v>
      </c>
      <c r="BB197" s="65">
        <v>2020</v>
      </c>
    </row>
    <row r="198" spans="49:54" x14ac:dyDescent="0.25">
      <c r="AW198" s="38" t="s">
        <v>44</v>
      </c>
      <c r="AX198" s="136">
        <f t="shared" si="4"/>
        <v>0.44117647058823528</v>
      </c>
      <c r="AY198" s="76">
        <v>15</v>
      </c>
      <c r="AZ198" s="135" t="s">
        <v>175</v>
      </c>
      <c r="BA198" s="73">
        <v>34</v>
      </c>
      <c r="BB198" s="65">
        <v>2020</v>
      </c>
    </row>
    <row r="199" spans="49:54" x14ac:dyDescent="0.25">
      <c r="AW199" s="38" t="s">
        <v>42</v>
      </c>
      <c r="AX199" s="136">
        <f t="shared" si="4"/>
        <v>0.44117647058823528</v>
      </c>
      <c r="AY199" s="76">
        <v>15</v>
      </c>
      <c r="AZ199" s="135" t="s">
        <v>175</v>
      </c>
      <c r="BA199" s="73">
        <v>34</v>
      </c>
      <c r="BB199" s="65">
        <v>2020</v>
      </c>
    </row>
    <row r="200" spans="49:54" x14ac:dyDescent="0.25">
      <c r="AW200" s="38" t="s">
        <v>78</v>
      </c>
      <c r="AX200" s="136">
        <f t="shared" si="4"/>
        <v>0.44117647058823528</v>
      </c>
      <c r="AY200" s="76">
        <v>15</v>
      </c>
      <c r="AZ200" s="135" t="s">
        <v>175</v>
      </c>
      <c r="BA200" s="73">
        <v>34</v>
      </c>
      <c r="BB200" s="65">
        <v>2020</v>
      </c>
    </row>
    <row r="201" spans="49:54" x14ac:dyDescent="0.25">
      <c r="AW201" s="38" t="s">
        <v>57</v>
      </c>
      <c r="AX201" s="136">
        <f t="shared" si="4"/>
        <v>0.4375</v>
      </c>
      <c r="AY201" s="76">
        <v>14</v>
      </c>
      <c r="AZ201" s="135" t="s">
        <v>175</v>
      </c>
      <c r="BA201" s="73">
        <v>32</v>
      </c>
      <c r="BB201" s="65">
        <v>2023</v>
      </c>
    </row>
    <row r="202" spans="49:54" x14ac:dyDescent="0.25">
      <c r="AW202" s="38" t="s">
        <v>198</v>
      </c>
      <c r="AX202" s="136">
        <f t="shared" si="4"/>
        <v>0.4375</v>
      </c>
      <c r="AY202" s="76">
        <v>14</v>
      </c>
      <c r="AZ202" s="135" t="s">
        <v>175</v>
      </c>
      <c r="BA202" s="73">
        <v>32</v>
      </c>
      <c r="BB202" s="65">
        <v>2023</v>
      </c>
    </row>
    <row r="203" spans="49:54" x14ac:dyDescent="0.25">
      <c r="AW203" s="38" t="s">
        <v>59</v>
      </c>
      <c r="AX203" s="136">
        <f t="shared" si="4"/>
        <v>0.4375</v>
      </c>
      <c r="AY203" s="76">
        <v>14</v>
      </c>
      <c r="AZ203" s="135" t="s">
        <v>175</v>
      </c>
      <c r="BA203" s="73">
        <v>32</v>
      </c>
      <c r="BB203" s="65">
        <v>2022</v>
      </c>
    </row>
    <row r="204" spans="49:54" x14ac:dyDescent="0.25">
      <c r="AW204" s="38" t="s">
        <v>36</v>
      </c>
      <c r="AX204" s="136">
        <f t="shared" si="4"/>
        <v>0.4375</v>
      </c>
      <c r="AY204" s="76">
        <v>14</v>
      </c>
      <c r="AZ204" s="135" t="s">
        <v>175</v>
      </c>
      <c r="BA204" s="73">
        <v>32</v>
      </c>
      <c r="BB204" s="65">
        <v>2022</v>
      </c>
    </row>
    <row r="205" spans="49:54" x14ac:dyDescent="0.25">
      <c r="AW205" s="38" t="s">
        <v>251</v>
      </c>
      <c r="AX205" s="136">
        <f t="shared" si="4"/>
        <v>0.4375</v>
      </c>
      <c r="AY205" s="76">
        <v>14</v>
      </c>
      <c r="AZ205" s="135" t="s">
        <v>175</v>
      </c>
      <c r="BA205" s="73">
        <v>32</v>
      </c>
      <c r="BB205" s="65">
        <v>2022</v>
      </c>
    </row>
    <row r="206" spans="49:54" x14ac:dyDescent="0.25">
      <c r="AW206" s="38" t="s">
        <v>48</v>
      </c>
      <c r="AX206" s="136">
        <f t="shared" si="4"/>
        <v>0.4375</v>
      </c>
      <c r="AY206" s="76">
        <v>14</v>
      </c>
      <c r="AZ206" s="135" t="s">
        <v>175</v>
      </c>
      <c r="BA206" s="73">
        <v>32</v>
      </c>
      <c r="BB206" s="65">
        <v>2021</v>
      </c>
    </row>
    <row r="207" spans="49:54" x14ac:dyDescent="0.25">
      <c r="AW207" s="38" t="s">
        <v>55</v>
      </c>
      <c r="AX207" s="136">
        <f t="shared" si="4"/>
        <v>0.4375</v>
      </c>
      <c r="AY207" s="76">
        <v>14</v>
      </c>
      <c r="AZ207" s="135" t="s">
        <v>175</v>
      </c>
      <c r="BA207" s="73">
        <v>32</v>
      </c>
      <c r="BB207" s="65">
        <v>2021</v>
      </c>
    </row>
    <row r="208" spans="49:54" x14ac:dyDescent="0.25">
      <c r="AW208" s="38" t="s">
        <v>60</v>
      </c>
      <c r="AX208" s="136">
        <f t="shared" si="4"/>
        <v>0.4375</v>
      </c>
      <c r="AY208" s="76">
        <v>14</v>
      </c>
      <c r="AZ208" s="135" t="s">
        <v>175</v>
      </c>
      <c r="BA208" s="73">
        <v>32</v>
      </c>
      <c r="BB208" s="65">
        <v>2017</v>
      </c>
    </row>
    <row r="209" spans="49:54" x14ac:dyDescent="0.25">
      <c r="AW209" s="38" t="s">
        <v>68</v>
      </c>
      <c r="AX209" s="136">
        <f t="shared" si="4"/>
        <v>0.4375</v>
      </c>
      <c r="AY209" s="76">
        <v>14</v>
      </c>
      <c r="AZ209" s="135" t="s">
        <v>175</v>
      </c>
      <c r="BA209" s="73">
        <v>32</v>
      </c>
      <c r="BB209" s="65">
        <v>2017</v>
      </c>
    </row>
    <row r="210" spans="49:54" x14ac:dyDescent="0.25">
      <c r="AW210" s="38" t="s">
        <v>67</v>
      </c>
      <c r="AX210" s="136">
        <f t="shared" si="4"/>
        <v>0.43333333333333335</v>
      </c>
      <c r="AY210" s="76">
        <v>13</v>
      </c>
      <c r="AZ210" s="135" t="s">
        <v>175</v>
      </c>
      <c r="BA210" s="73">
        <v>30</v>
      </c>
      <c r="BB210" s="65">
        <v>2015</v>
      </c>
    </row>
    <row r="211" spans="49:54" x14ac:dyDescent="0.25">
      <c r="AW211" s="38" t="s">
        <v>70</v>
      </c>
      <c r="AX211" s="136">
        <f t="shared" si="4"/>
        <v>0.43333333333333335</v>
      </c>
      <c r="AY211" s="76">
        <v>13</v>
      </c>
      <c r="AZ211" s="135" t="s">
        <v>175</v>
      </c>
      <c r="BA211" s="73">
        <v>30</v>
      </c>
      <c r="BB211" s="65">
        <v>2015</v>
      </c>
    </row>
    <row r="212" spans="49:54" x14ac:dyDescent="0.25">
      <c r="AW212" s="38" t="s">
        <v>62</v>
      </c>
      <c r="AX212" s="175">
        <f t="shared" si="4"/>
        <v>0.42857142857142855</v>
      </c>
      <c r="AY212" s="38">
        <v>15</v>
      </c>
      <c r="AZ212" s="135" t="s">
        <v>175</v>
      </c>
      <c r="BA212" s="73">
        <v>35</v>
      </c>
      <c r="BB212" s="65">
        <v>2025</v>
      </c>
    </row>
    <row r="213" spans="49:54" x14ac:dyDescent="0.25">
      <c r="AW213" s="38" t="s">
        <v>213</v>
      </c>
      <c r="AX213" s="175">
        <f t="shared" si="4"/>
        <v>0.42857142857142855</v>
      </c>
      <c r="AY213" s="38">
        <v>15</v>
      </c>
      <c r="AZ213" s="135" t="s">
        <v>175</v>
      </c>
      <c r="BA213" s="73">
        <v>35</v>
      </c>
      <c r="BB213" s="65">
        <v>2025</v>
      </c>
    </row>
    <row r="214" spans="49:54" x14ac:dyDescent="0.25">
      <c r="AW214" s="38" t="s">
        <v>36</v>
      </c>
      <c r="AX214" s="175">
        <f t="shared" si="4"/>
        <v>0.42857142857142855</v>
      </c>
      <c r="AY214" s="38">
        <v>15</v>
      </c>
      <c r="AZ214" s="135" t="s">
        <v>175</v>
      </c>
      <c r="BA214" s="73">
        <v>35</v>
      </c>
      <c r="BB214" s="65">
        <v>2025</v>
      </c>
    </row>
    <row r="215" spans="49:54" x14ac:dyDescent="0.25">
      <c r="AW215" s="38" t="s">
        <v>191</v>
      </c>
      <c r="AX215" s="136">
        <f t="shared" si="4"/>
        <v>0.42857142857142855</v>
      </c>
      <c r="AY215" s="38">
        <v>15</v>
      </c>
      <c r="AZ215" s="135" t="s">
        <v>175</v>
      </c>
      <c r="BA215" s="38">
        <v>35</v>
      </c>
      <c r="BB215" s="38">
        <v>2024</v>
      </c>
    </row>
    <row r="216" spans="49:54" x14ac:dyDescent="0.25">
      <c r="AW216" s="38" t="s">
        <v>194</v>
      </c>
      <c r="AX216" s="136">
        <f t="shared" si="4"/>
        <v>0.42857142857142855</v>
      </c>
      <c r="AY216" s="38">
        <v>15</v>
      </c>
      <c r="AZ216" s="135" t="s">
        <v>175</v>
      </c>
      <c r="BA216" s="38">
        <v>35</v>
      </c>
      <c r="BB216" s="38">
        <v>2024</v>
      </c>
    </row>
    <row r="217" spans="49:54" x14ac:dyDescent="0.25">
      <c r="AW217" s="38" t="s">
        <v>191</v>
      </c>
      <c r="AX217" s="136">
        <f t="shared" si="4"/>
        <v>0.421875</v>
      </c>
      <c r="AY217" s="76">
        <v>13.5</v>
      </c>
      <c r="AZ217" s="135" t="s">
        <v>175</v>
      </c>
      <c r="BA217" s="73">
        <v>32</v>
      </c>
      <c r="BB217" s="65">
        <v>2022</v>
      </c>
    </row>
    <row r="218" spans="49:54" x14ac:dyDescent="0.25">
      <c r="AW218" s="38" t="s">
        <v>196</v>
      </c>
      <c r="AX218" s="136">
        <f t="shared" si="4"/>
        <v>0.421875</v>
      </c>
      <c r="AY218" s="76">
        <v>13.5</v>
      </c>
      <c r="AZ218" s="135" t="s">
        <v>175</v>
      </c>
      <c r="BA218" s="73">
        <v>32</v>
      </c>
      <c r="BB218" s="65">
        <v>2022</v>
      </c>
    </row>
    <row r="219" spans="49:54" x14ac:dyDescent="0.25">
      <c r="AW219" s="38" t="s">
        <v>50</v>
      </c>
      <c r="AX219" s="136">
        <f t="shared" si="4"/>
        <v>0.421875</v>
      </c>
      <c r="AY219" s="76">
        <v>13.5</v>
      </c>
      <c r="AZ219" s="135" t="s">
        <v>175</v>
      </c>
      <c r="BA219" s="73">
        <v>32</v>
      </c>
      <c r="BB219" s="65">
        <v>2021</v>
      </c>
    </row>
    <row r="220" spans="49:54" x14ac:dyDescent="0.25">
      <c r="AW220" s="38" t="s">
        <v>47</v>
      </c>
      <c r="AX220" s="175">
        <f t="shared" si="4"/>
        <v>0.42105263157894735</v>
      </c>
      <c r="AY220" s="38">
        <v>8</v>
      </c>
      <c r="AZ220" s="135" t="s">
        <v>175</v>
      </c>
      <c r="BA220" s="73">
        <v>19</v>
      </c>
      <c r="BB220" s="65">
        <v>2025</v>
      </c>
    </row>
    <row r="221" spans="49:54" x14ac:dyDescent="0.25">
      <c r="AW221" s="38" t="s">
        <v>52</v>
      </c>
      <c r="AX221" s="136">
        <f t="shared" si="4"/>
        <v>0.41666666666666669</v>
      </c>
      <c r="AY221" s="76">
        <v>12.5</v>
      </c>
      <c r="AZ221" s="135" t="s">
        <v>175</v>
      </c>
      <c r="BA221" s="73">
        <v>30</v>
      </c>
      <c r="BB221" s="65">
        <v>2016</v>
      </c>
    </row>
    <row r="222" spans="49:54" x14ac:dyDescent="0.25">
      <c r="AW222" s="38" t="s">
        <v>69</v>
      </c>
      <c r="AX222" s="136">
        <f t="shared" si="4"/>
        <v>0.41666666666666669</v>
      </c>
      <c r="AY222" s="76">
        <v>12.5</v>
      </c>
      <c r="AZ222" s="135" t="s">
        <v>175</v>
      </c>
      <c r="BA222" s="73">
        <v>30</v>
      </c>
      <c r="BB222" s="65">
        <v>2015</v>
      </c>
    </row>
    <row r="223" spans="49:54" x14ac:dyDescent="0.25">
      <c r="AW223" s="38" t="s">
        <v>44</v>
      </c>
      <c r="AX223" s="136">
        <f t="shared" si="4"/>
        <v>0.41428571428571431</v>
      </c>
      <c r="AY223" s="38">
        <v>14.5</v>
      </c>
      <c r="AZ223" s="135" t="s">
        <v>175</v>
      </c>
      <c r="BA223" s="38">
        <v>35</v>
      </c>
      <c r="BB223" s="38">
        <v>2024</v>
      </c>
    </row>
    <row r="224" spans="49:54" x14ac:dyDescent="0.25">
      <c r="AW224" s="38" t="s">
        <v>41</v>
      </c>
      <c r="AX224" s="136">
        <f t="shared" si="4"/>
        <v>0.41428571428571431</v>
      </c>
      <c r="AY224" s="38">
        <v>14.5</v>
      </c>
      <c r="AZ224" s="135" t="s">
        <v>175</v>
      </c>
      <c r="BA224" s="38">
        <v>35</v>
      </c>
      <c r="BB224" s="38">
        <v>2024</v>
      </c>
    </row>
    <row r="225" spans="49:54" x14ac:dyDescent="0.25">
      <c r="AW225" s="38" t="s">
        <v>40</v>
      </c>
      <c r="AX225" s="136">
        <f t="shared" si="4"/>
        <v>0.41176470588235292</v>
      </c>
      <c r="AY225" s="76">
        <v>14</v>
      </c>
      <c r="AZ225" s="135" t="s">
        <v>175</v>
      </c>
      <c r="BA225" s="73">
        <v>34</v>
      </c>
      <c r="BB225" s="65">
        <v>2020</v>
      </c>
    </row>
    <row r="226" spans="49:54" x14ac:dyDescent="0.25">
      <c r="AW226" s="38" t="s">
        <v>48</v>
      </c>
      <c r="AX226" s="136">
        <f t="shared" si="4"/>
        <v>0.41176470588235292</v>
      </c>
      <c r="AY226" s="76">
        <v>14</v>
      </c>
      <c r="AZ226" s="135" t="s">
        <v>175</v>
      </c>
      <c r="BA226" s="73">
        <v>34</v>
      </c>
      <c r="BB226" s="65">
        <v>2020</v>
      </c>
    </row>
    <row r="227" spans="49:54" x14ac:dyDescent="0.25">
      <c r="AW227" s="38" t="s">
        <v>47</v>
      </c>
      <c r="AX227" s="136">
        <f t="shared" si="4"/>
        <v>0.40625</v>
      </c>
      <c r="AY227" s="76">
        <v>13</v>
      </c>
      <c r="AZ227" s="135" t="s">
        <v>175</v>
      </c>
      <c r="BA227" s="73">
        <v>32</v>
      </c>
      <c r="BB227" s="65">
        <v>2023</v>
      </c>
    </row>
    <row r="228" spans="49:54" x14ac:dyDescent="0.25">
      <c r="AW228" s="38" t="s">
        <v>48</v>
      </c>
      <c r="AX228" s="136">
        <f t="shared" si="4"/>
        <v>0.40625</v>
      </c>
      <c r="AY228" s="76">
        <v>13</v>
      </c>
      <c r="AZ228" s="135" t="s">
        <v>175</v>
      </c>
      <c r="BA228" s="73">
        <v>32</v>
      </c>
      <c r="BB228" s="65">
        <v>2023</v>
      </c>
    </row>
    <row r="229" spans="49:54" x14ac:dyDescent="0.25">
      <c r="AW229" s="38" t="s">
        <v>45</v>
      </c>
      <c r="AX229" s="136">
        <f t="shared" si="4"/>
        <v>0.40625</v>
      </c>
      <c r="AY229" s="76">
        <v>13</v>
      </c>
      <c r="AZ229" s="135" t="s">
        <v>175</v>
      </c>
      <c r="BA229" s="73">
        <v>32</v>
      </c>
      <c r="BB229" s="65">
        <v>2022</v>
      </c>
    </row>
    <row r="230" spans="49:54" x14ac:dyDescent="0.25">
      <c r="AW230" s="38" t="s">
        <v>53</v>
      </c>
      <c r="AX230" s="136">
        <f t="shared" si="4"/>
        <v>0.40625</v>
      </c>
      <c r="AY230" s="76">
        <v>13</v>
      </c>
      <c r="AZ230" s="135" t="s">
        <v>175</v>
      </c>
      <c r="BA230" s="73">
        <v>32</v>
      </c>
      <c r="BB230" s="65">
        <v>2021</v>
      </c>
    </row>
    <row r="231" spans="49:54" x14ac:dyDescent="0.25">
      <c r="AW231" s="38" t="s">
        <v>44</v>
      </c>
      <c r="AX231" s="136">
        <f t="shared" si="4"/>
        <v>0.40625</v>
      </c>
      <c r="AY231" s="76">
        <v>13</v>
      </c>
      <c r="AZ231" s="135" t="s">
        <v>175</v>
      </c>
      <c r="BA231" s="73">
        <v>32</v>
      </c>
      <c r="BB231" s="65">
        <v>2018</v>
      </c>
    </row>
    <row r="232" spans="49:54" x14ac:dyDescent="0.25">
      <c r="AW232" s="38" t="s">
        <v>81</v>
      </c>
      <c r="AX232" s="136">
        <f t="shared" si="4"/>
        <v>0.40625</v>
      </c>
      <c r="AY232" s="76">
        <v>13</v>
      </c>
      <c r="AZ232" s="135" t="s">
        <v>175</v>
      </c>
      <c r="BA232" s="73">
        <v>32</v>
      </c>
      <c r="BB232" s="65">
        <v>2018</v>
      </c>
    </row>
    <row r="233" spans="49:54" x14ac:dyDescent="0.25">
      <c r="AW233" s="38" t="s">
        <v>46</v>
      </c>
      <c r="AX233" s="136">
        <f t="shared" si="4"/>
        <v>0.40625</v>
      </c>
      <c r="AY233" s="76">
        <v>13</v>
      </c>
      <c r="AZ233" s="135" t="s">
        <v>175</v>
      </c>
      <c r="BA233" s="73">
        <v>32</v>
      </c>
      <c r="BB233" s="65">
        <v>2017</v>
      </c>
    </row>
    <row r="234" spans="49:54" x14ac:dyDescent="0.25">
      <c r="AW234" s="38" t="s">
        <v>48</v>
      </c>
      <c r="AX234" s="136">
        <f t="shared" si="4"/>
        <v>0.40625</v>
      </c>
      <c r="AY234" s="76">
        <v>13</v>
      </c>
      <c r="AZ234" s="135" t="s">
        <v>175</v>
      </c>
      <c r="BA234" s="73">
        <v>32</v>
      </c>
      <c r="BB234" s="65">
        <v>2017</v>
      </c>
    </row>
    <row r="235" spans="49:54" x14ac:dyDescent="0.25">
      <c r="AW235" s="38" t="s">
        <v>42</v>
      </c>
      <c r="AX235" s="136">
        <f t="shared" si="4"/>
        <v>0.40625</v>
      </c>
      <c r="AY235" s="76">
        <v>13</v>
      </c>
      <c r="AZ235" s="135" t="s">
        <v>175</v>
      </c>
      <c r="BA235" s="73">
        <v>32</v>
      </c>
      <c r="BB235" s="65">
        <v>2017</v>
      </c>
    </row>
    <row r="236" spans="49:54" x14ac:dyDescent="0.25">
      <c r="AW236" s="38" t="s">
        <v>60</v>
      </c>
      <c r="AX236" s="175">
        <f t="shared" si="4"/>
        <v>0.4</v>
      </c>
      <c r="AY236" s="38">
        <v>14</v>
      </c>
      <c r="AZ236" s="135" t="s">
        <v>175</v>
      </c>
      <c r="BA236" s="73">
        <v>35</v>
      </c>
      <c r="BB236" s="65">
        <v>2025</v>
      </c>
    </row>
    <row r="237" spans="49:54" x14ac:dyDescent="0.25">
      <c r="AW237" s="38" t="s">
        <v>191</v>
      </c>
      <c r="AX237" s="175">
        <f t="shared" si="4"/>
        <v>0.4</v>
      </c>
      <c r="AY237" s="38">
        <v>14</v>
      </c>
      <c r="AZ237" s="135" t="s">
        <v>175</v>
      </c>
      <c r="BA237" s="73">
        <v>35</v>
      </c>
      <c r="BB237" s="65">
        <v>2025</v>
      </c>
    </row>
    <row r="238" spans="49:54" x14ac:dyDescent="0.25">
      <c r="AW238" s="38" t="s">
        <v>53</v>
      </c>
      <c r="AX238" s="175">
        <f t="shared" si="4"/>
        <v>0.4</v>
      </c>
      <c r="AY238" s="38">
        <v>14</v>
      </c>
      <c r="AZ238" s="135" t="s">
        <v>175</v>
      </c>
      <c r="BA238" s="73">
        <v>35</v>
      </c>
      <c r="BB238" s="65">
        <v>2025</v>
      </c>
    </row>
    <row r="239" spans="49:54" x14ac:dyDescent="0.25">
      <c r="AW239" s="90" t="s">
        <v>216</v>
      </c>
      <c r="AX239" s="176">
        <f t="shared" si="4"/>
        <v>0.4</v>
      </c>
      <c r="AY239" s="90">
        <v>14</v>
      </c>
      <c r="AZ239" s="150" t="s">
        <v>175</v>
      </c>
      <c r="BA239" s="125">
        <v>35</v>
      </c>
      <c r="BB239" s="114">
        <v>2025</v>
      </c>
    </row>
    <row r="240" spans="49:54" x14ac:dyDescent="0.25">
      <c r="AW240" s="38" t="s">
        <v>45</v>
      </c>
      <c r="AX240" s="151">
        <f t="shared" si="4"/>
        <v>0.4</v>
      </c>
      <c r="AY240" s="38">
        <v>14</v>
      </c>
      <c r="AZ240" s="135" t="s">
        <v>175</v>
      </c>
      <c r="BA240" s="38">
        <v>35</v>
      </c>
      <c r="BB240" s="38">
        <v>2024</v>
      </c>
    </row>
    <row r="241" spans="49:54" x14ac:dyDescent="0.25">
      <c r="AW241" s="38" t="s">
        <v>55</v>
      </c>
      <c r="AX241" s="151">
        <f t="shared" si="4"/>
        <v>0.4</v>
      </c>
      <c r="AY241" s="76">
        <v>12</v>
      </c>
      <c r="AZ241" s="135" t="s">
        <v>175</v>
      </c>
      <c r="BA241" s="73">
        <v>30</v>
      </c>
      <c r="BB241" s="65">
        <v>2015</v>
      </c>
    </row>
    <row r="242" spans="49:54" x14ac:dyDescent="0.25">
      <c r="AW242" s="38" t="s">
        <v>56</v>
      </c>
      <c r="AX242" s="151">
        <f t="shared" si="4"/>
        <v>0.39705882352941174</v>
      </c>
      <c r="AY242" s="76">
        <v>13.5</v>
      </c>
      <c r="AZ242" s="135" t="s">
        <v>175</v>
      </c>
      <c r="BA242" s="73">
        <v>34</v>
      </c>
      <c r="BB242" s="65">
        <v>2019</v>
      </c>
    </row>
    <row r="243" spans="49:54" x14ac:dyDescent="0.25">
      <c r="AW243" s="38" t="s">
        <v>47</v>
      </c>
      <c r="AX243" s="151">
        <f t="shared" si="4"/>
        <v>0.390625</v>
      </c>
      <c r="AY243" s="76">
        <v>12.5</v>
      </c>
      <c r="AZ243" s="135" t="s">
        <v>175</v>
      </c>
      <c r="BA243" s="73">
        <v>32</v>
      </c>
      <c r="BB243" s="65">
        <v>2022</v>
      </c>
    </row>
    <row r="244" spans="49:54" x14ac:dyDescent="0.25">
      <c r="AW244" s="38" t="s">
        <v>52</v>
      </c>
      <c r="AX244" s="151">
        <f t="shared" si="4"/>
        <v>0.390625</v>
      </c>
      <c r="AY244" s="76">
        <v>12.5</v>
      </c>
      <c r="AZ244" s="135" t="s">
        <v>175</v>
      </c>
      <c r="BA244" s="73">
        <v>32</v>
      </c>
      <c r="BB244" s="65">
        <v>2022</v>
      </c>
    </row>
    <row r="245" spans="49:54" x14ac:dyDescent="0.25">
      <c r="AW245" s="38" t="s">
        <v>192</v>
      </c>
      <c r="AX245" s="151">
        <f t="shared" si="4"/>
        <v>0.390625</v>
      </c>
      <c r="AY245" s="76">
        <v>12.5</v>
      </c>
      <c r="AZ245" s="135" t="s">
        <v>175</v>
      </c>
      <c r="BA245" s="73">
        <v>32</v>
      </c>
      <c r="BB245" s="65">
        <v>2022</v>
      </c>
    </row>
    <row r="246" spans="49:54" x14ac:dyDescent="0.25">
      <c r="AW246" s="38" t="s">
        <v>198</v>
      </c>
      <c r="AX246" s="151">
        <f t="shared" si="4"/>
        <v>0.390625</v>
      </c>
      <c r="AY246" s="76">
        <v>12.5</v>
      </c>
      <c r="AZ246" s="135" t="s">
        <v>175</v>
      </c>
      <c r="BA246" s="73">
        <v>32</v>
      </c>
      <c r="BB246" s="65">
        <v>2022</v>
      </c>
    </row>
    <row r="247" spans="49:54" x14ac:dyDescent="0.25">
      <c r="AW247" s="38" t="s">
        <v>49</v>
      </c>
      <c r="AX247" s="151">
        <f t="shared" si="4"/>
        <v>0.390625</v>
      </c>
      <c r="AY247" s="76">
        <v>12.5</v>
      </c>
      <c r="AZ247" s="135" t="s">
        <v>175</v>
      </c>
      <c r="BA247" s="73">
        <v>32</v>
      </c>
      <c r="BB247" s="65">
        <v>2021</v>
      </c>
    </row>
    <row r="248" spans="49:54" x14ac:dyDescent="0.25">
      <c r="AW248" s="38" t="s">
        <v>62</v>
      </c>
      <c r="AX248" s="151">
        <f t="shared" si="4"/>
        <v>0.390625</v>
      </c>
      <c r="AY248" s="76">
        <v>12.5</v>
      </c>
      <c r="AZ248" s="135" t="s">
        <v>175</v>
      </c>
      <c r="BA248" s="73">
        <v>32</v>
      </c>
      <c r="BB248" s="65">
        <v>2021</v>
      </c>
    </row>
    <row r="249" spans="49:54" x14ac:dyDescent="0.25">
      <c r="AW249" s="38" t="s">
        <v>67</v>
      </c>
      <c r="AX249" s="151">
        <f t="shared" si="4"/>
        <v>0.390625</v>
      </c>
      <c r="AY249" s="76">
        <v>12.5</v>
      </c>
      <c r="AZ249" s="135" t="s">
        <v>175</v>
      </c>
      <c r="BA249" s="73">
        <v>32</v>
      </c>
      <c r="BB249" s="65">
        <v>2018</v>
      </c>
    </row>
    <row r="250" spans="49:54" x14ac:dyDescent="0.25">
      <c r="AW250" s="38" t="s">
        <v>56</v>
      </c>
      <c r="AX250" s="151">
        <f t="shared" si="4"/>
        <v>0.390625</v>
      </c>
      <c r="AY250" s="76">
        <v>12.5</v>
      </c>
      <c r="AZ250" s="135" t="s">
        <v>175</v>
      </c>
      <c r="BA250" s="73">
        <v>32</v>
      </c>
      <c r="BB250" s="65">
        <v>2018</v>
      </c>
    </row>
    <row r="251" spans="49:54" x14ac:dyDescent="0.25">
      <c r="AW251" s="38" t="s">
        <v>268</v>
      </c>
      <c r="AX251" s="176">
        <f t="shared" si="4"/>
        <v>0.38571428571428573</v>
      </c>
      <c r="AY251" s="38">
        <v>13.5</v>
      </c>
      <c r="AZ251" s="135" t="s">
        <v>175</v>
      </c>
      <c r="BA251" s="73">
        <v>35</v>
      </c>
      <c r="BB251" s="65">
        <v>2025</v>
      </c>
    </row>
    <row r="252" spans="49:54" x14ac:dyDescent="0.25">
      <c r="AW252" s="38" t="s">
        <v>62</v>
      </c>
      <c r="AX252" s="151">
        <f t="shared" si="4"/>
        <v>0.38571428571428573</v>
      </c>
      <c r="AY252" s="38">
        <v>13.5</v>
      </c>
      <c r="AZ252" s="135" t="s">
        <v>175</v>
      </c>
      <c r="BA252" s="38">
        <v>35</v>
      </c>
      <c r="BB252" s="38">
        <v>2024</v>
      </c>
    </row>
    <row r="253" spans="49:54" x14ac:dyDescent="0.25">
      <c r="AW253" s="38" t="s">
        <v>39</v>
      </c>
      <c r="AX253" s="151">
        <f t="shared" si="4"/>
        <v>0.38333333333333336</v>
      </c>
      <c r="AY253" s="76">
        <v>11.5</v>
      </c>
      <c r="AZ253" s="135" t="s">
        <v>175</v>
      </c>
      <c r="BA253" s="73">
        <v>30</v>
      </c>
      <c r="BB253" s="65">
        <v>2015</v>
      </c>
    </row>
    <row r="254" spans="49:54" x14ac:dyDescent="0.25">
      <c r="AW254" s="38" t="s">
        <v>43</v>
      </c>
      <c r="AX254" s="151">
        <f t="shared" si="4"/>
        <v>0.38235294117647056</v>
      </c>
      <c r="AY254" s="76">
        <v>13</v>
      </c>
      <c r="AZ254" s="135" t="s">
        <v>175</v>
      </c>
      <c r="BA254" s="73">
        <v>34</v>
      </c>
      <c r="BB254" s="65">
        <v>2020</v>
      </c>
    </row>
    <row r="255" spans="49:54" x14ac:dyDescent="0.25">
      <c r="AW255" s="38" t="s">
        <v>38</v>
      </c>
      <c r="AX255" s="151">
        <f t="shared" si="4"/>
        <v>0.38235294117647056</v>
      </c>
      <c r="AY255" s="76">
        <v>13</v>
      </c>
      <c r="AZ255" s="135" t="s">
        <v>175</v>
      </c>
      <c r="BA255" s="73">
        <v>34</v>
      </c>
      <c r="BB255" s="65">
        <v>2020</v>
      </c>
    </row>
    <row r="256" spans="49:54" x14ac:dyDescent="0.25">
      <c r="AW256" s="38" t="s">
        <v>47</v>
      </c>
      <c r="AX256" s="151">
        <f t="shared" si="4"/>
        <v>0.38235294117647056</v>
      </c>
      <c r="AY256" s="76">
        <v>13</v>
      </c>
      <c r="AZ256" s="135" t="s">
        <v>175</v>
      </c>
      <c r="BA256" s="73">
        <v>34</v>
      </c>
      <c r="BB256" s="65">
        <v>2019</v>
      </c>
    </row>
    <row r="257" spans="49:54" x14ac:dyDescent="0.25">
      <c r="AW257" s="38" t="s">
        <v>60</v>
      </c>
      <c r="AX257" s="151">
        <f t="shared" si="4"/>
        <v>0.375</v>
      </c>
      <c r="AY257" s="76">
        <v>12</v>
      </c>
      <c r="AZ257" s="135" t="s">
        <v>175</v>
      </c>
      <c r="BA257" s="73">
        <v>32</v>
      </c>
      <c r="BB257" s="65">
        <v>2023</v>
      </c>
    </row>
    <row r="258" spans="49:54" x14ac:dyDescent="0.25">
      <c r="AW258" s="38" t="s">
        <v>216</v>
      </c>
      <c r="AX258" s="151">
        <f t="shared" si="4"/>
        <v>0.375</v>
      </c>
      <c r="AY258" s="76">
        <v>12</v>
      </c>
      <c r="AZ258" s="135" t="s">
        <v>175</v>
      </c>
      <c r="BA258" s="73">
        <v>32</v>
      </c>
      <c r="BB258" s="65">
        <v>2023</v>
      </c>
    </row>
    <row r="259" spans="49:54" x14ac:dyDescent="0.25">
      <c r="AW259" s="38" t="s">
        <v>41</v>
      </c>
      <c r="AX259" s="151">
        <f t="shared" si="4"/>
        <v>0.375</v>
      </c>
      <c r="AY259" s="76">
        <v>12</v>
      </c>
      <c r="AZ259" s="135" t="s">
        <v>175</v>
      </c>
      <c r="BA259" s="73">
        <v>32</v>
      </c>
      <c r="BB259" s="65">
        <v>2022</v>
      </c>
    </row>
    <row r="260" spans="49:54" x14ac:dyDescent="0.25">
      <c r="AW260" s="38" t="s">
        <v>251</v>
      </c>
      <c r="AX260" s="151">
        <f t="shared" ref="AX260:AX310" si="5">AY260/BA260</f>
        <v>0.375</v>
      </c>
      <c r="AY260" s="76">
        <v>12</v>
      </c>
      <c r="AZ260" s="135" t="s">
        <v>175</v>
      </c>
      <c r="BA260" s="73">
        <v>32</v>
      </c>
      <c r="BB260" s="65">
        <v>2021</v>
      </c>
    </row>
    <row r="261" spans="49:54" x14ac:dyDescent="0.25">
      <c r="AW261" s="38" t="s">
        <v>46</v>
      </c>
      <c r="AX261" s="151">
        <f t="shared" si="5"/>
        <v>0.375</v>
      </c>
      <c r="AY261" s="76">
        <v>12</v>
      </c>
      <c r="AZ261" s="135" t="s">
        <v>175</v>
      </c>
      <c r="BA261" s="73">
        <v>32</v>
      </c>
      <c r="BB261" s="65">
        <v>2018</v>
      </c>
    </row>
    <row r="262" spans="49:54" x14ac:dyDescent="0.25">
      <c r="AW262" s="38" t="s">
        <v>75</v>
      </c>
      <c r="AX262" s="151">
        <f t="shared" si="5"/>
        <v>0.375</v>
      </c>
      <c r="AY262" s="76">
        <v>12</v>
      </c>
      <c r="AZ262" s="135" t="s">
        <v>175</v>
      </c>
      <c r="BA262" s="73">
        <v>32</v>
      </c>
      <c r="BB262" s="65">
        <v>2017</v>
      </c>
    </row>
    <row r="263" spans="49:54" x14ac:dyDescent="0.25">
      <c r="AW263" s="38" t="s">
        <v>41</v>
      </c>
      <c r="AX263" s="176">
        <f t="shared" si="5"/>
        <v>0.37142857142857144</v>
      </c>
      <c r="AY263" s="38">
        <v>13</v>
      </c>
      <c r="AZ263" s="135" t="s">
        <v>175</v>
      </c>
      <c r="BA263" s="73">
        <v>35</v>
      </c>
      <c r="BB263" s="65">
        <v>2025</v>
      </c>
    </row>
    <row r="264" spans="49:54" x14ac:dyDescent="0.25">
      <c r="AW264" s="38" t="s">
        <v>195</v>
      </c>
      <c r="AX264" s="176">
        <f t="shared" si="5"/>
        <v>0.37142857142857144</v>
      </c>
      <c r="AY264" s="38">
        <v>13</v>
      </c>
      <c r="AZ264" s="135" t="s">
        <v>175</v>
      </c>
      <c r="BA264" s="73">
        <v>35</v>
      </c>
      <c r="BB264" s="65">
        <v>2025</v>
      </c>
    </row>
    <row r="265" spans="49:54" x14ac:dyDescent="0.25">
      <c r="AW265" s="38" t="s">
        <v>51</v>
      </c>
      <c r="AX265" s="151">
        <f t="shared" si="5"/>
        <v>0.37142857142857144</v>
      </c>
      <c r="AY265" s="38">
        <v>13</v>
      </c>
      <c r="AZ265" s="135" t="s">
        <v>175</v>
      </c>
      <c r="BA265" s="38">
        <v>35</v>
      </c>
      <c r="BB265" s="38">
        <v>2024</v>
      </c>
    </row>
    <row r="266" spans="49:54" x14ac:dyDescent="0.25">
      <c r="AW266" s="38" t="s">
        <v>52</v>
      </c>
      <c r="AX266" s="151">
        <f t="shared" si="5"/>
        <v>0.37142857142857144</v>
      </c>
      <c r="AY266" s="38">
        <v>13</v>
      </c>
      <c r="AZ266" s="135" t="s">
        <v>175</v>
      </c>
      <c r="BA266" s="38">
        <v>35</v>
      </c>
      <c r="BB266" s="38">
        <v>2024</v>
      </c>
    </row>
    <row r="267" spans="49:54" x14ac:dyDescent="0.25">
      <c r="AW267" s="38" t="s">
        <v>48</v>
      </c>
      <c r="AX267" s="151">
        <f t="shared" si="5"/>
        <v>0.36666666666666664</v>
      </c>
      <c r="AY267" s="76">
        <v>11</v>
      </c>
      <c r="AZ267" s="135" t="s">
        <v>175</v>
      </c>
      <c r="BA267" s="73">
        <v>30</v>
      </c>
      <c r="BB267" s="65">
        <v>2016</v>
      </c>
    </row>
    <row r="268" spans="49:54" x14ac:dyDescent="0.25">
      <c r="AW268" s="38" t="s">
        <v>72</v>
      </c>
      <c r="AX268" s="151">
        <f t="shared" si="5"/>
        <v>0.36666666666666664</v>
      </c>
      <c r="AY268" s="76">
        <v>11</v>
      </c>
      <c r="AZ268" s="135" t="s">
        <v>175</v>
      </c>
      <c r="BA268" s="73">
        <v>30</v>
      </c>
      <c r="BB268" s="65">
        <v>2015</v>
      </c>
    </row>
    <row r="269" spans="49:54" x14ac:dyDescent="0.25">
      <c r="AW269" s="38" t="s">
        <v>52</v>
      </c>
      <c r="AX269" s="151">
        <f t="shared" si="5"/>
        <v>0.359375</v>
      </c>
      <c r="AY269" s="76">
        <v>11.5</v>
      </c>
      <c r="AZ269" s="135" t="s">
        <v>175</v>
      </c>
      <c r="BA269" s="73">
        <v>32</v>
      </c>
      <c r="BB269" s="65">
        <v>2023</v>
      </c>
    </row>
    <row r="270" spans="49:54" x14ac:dyDescent="0.25">
      <c r="AW270" s="38" t="s">
        <v>62</v>
      </c>
      <c r="AX270" s="151">
        <f t="shared" si="5"/>
        <v>0.359375</v>
      </c>
      <c r="AY270" s="76">
        <v>11.5</v>
      </c>
      <c r="AZ270" s="135" t="s">
        <v>175</v>
      </c>
      <c r="BA270" s="73">
        <v>32</v>
      </c>
      <c r="BB270" s="65">
        <v>2022</v>
      </c>
    </row>
    <row r="271" spans="49:54" x14ac:dyDescent="0.25">
      <c r="AW271" s="38" t="s">
        <v>37</v>
      </c>
      <c r="AX271" s="151">
        <f t="shared" si="5"/>
        <v>0.359375</v>
      </c>
      <c r="AY271" s="76">
        <v>11.5</v>
      </c>
      <c r="AZ271" s="135" t="s">
        <v>175</v>
      </c>
      <c r="BA271" s="73">
        <v>32</v>
      </c>
      <c r="BB271" s="65">
        <v>2022</v>
      </c>
    </row>
    <row r="272" spans="49:54" x14ac:dyDescent="0.25">
      <c r="AW272" s="38" t="s">
        <v>60</v>
      </c>
      <c r="AX272" s="136">
        <f t="shared" si="5"/>
        <v>0.35</v>
      </c>
      <c r="AY272" s="76">
        <v>10.5</v>
      </c>
      <c r="AZ272" s="135" t="s">
        <v>175</v>
      </c>
      <c r="BA272" s="73">
        <v>30</v>
      </c>
      <c r="BB272" s="65">
        <v>2016</v>
      </c>
    </row>
    <row r="273" spans="49:54" x14ac:dyDescent="0.25">
      <c r="AW273" s="38" t="s">
        <v>376</v>
      </c>
      <c r="AX273" s="136">
        <f t="shared" si="5"/>
        <v>0.35</v>
      </c>
      <c r="AY273" s="76">
        <v>10.5</v>
      </c>
      <c r="AZ273" s="135" t="s">
        <v>175</v>
      </c>
      <c r="BA273" s="73">
        <v>30</v>
      </c>
      <c r="BB273" s="65">
        <v>2015</v>
      </c>
    </row>
    <row r="274" spans="49:54" x14ac:dyDescent="0.25">
      <c r="AW274" s="38" t="s">
        <v>102</v>
      </c>
      <c r="AX274" s="136">
        <f t="shared" si="5"/>
        <v>0.35</v>
      </c>
      <c r="AY274" s="76">
        <v>10.5</v>
      </c>
      <c r="AZ274" s="135" t="s">
        <v>175</v>
      </c>
      <c r="BA274" s="73">
        <v>30</v>
      </c>
      <c r="BB274" s="65">
        <v>2015</v>
      </c>
    </row>
    <row r="275" spans="49:54" x14ac:dyDescent="0.25">
      <c r="AW275" s="38" t="s">
        <v>224</v>
      </c>
      <c r="AX275" s="136">
        <f t="shared" si="5"/>
        <v>0.34375</v>
      </c>
      <c r="AY275" s="76">
        <v>11</v>
      </c>
      <c r="AZ275" s="135" t="s">
        <v>175</v>
      </c>
      <c r="BA275" s="73">
        <v>32</v>
      </c>
      <c r="BB275" s="65">
        <v>2023</v>
      </c>
    </row>
    <row r="276" spans="49:54" x14ac:dyDescent="0.25">
      <c r="AW276" s="38" t="s">
        <v>54</v>
      </c>
      <c r="AX276" s="136">
        <f t="shared" si="5"/>
        <v>0.34375</v>
      </c>
      <c r="AY276" s="76">
        <v>11</v>
      </c>
      <c r="AZ276" s="135" t="s">
        <v>175</v>
      </c>
      <c r="BA276" s="73">
        <v>32</v>
      </c>
      <c r="BB276" s="65">
        <v>2022</v>
      </c>
    </row>
    <row r="277" spans="49:54" x14ac:dyDescent="0.25">
      <c r="AW277" s="38" t="s">
        <v>56</v>
      </c>
      <c r="AX277" s="136">
        <f t="shared" si="5"/>
        <v>0.34375</v>
      </c>
      <c r="AY277" s="76">
        <v>11</v>
      </c>
      <c r="AZ277" s="135" t="s">
        <v>175</v>
      </c>
      <c r="BA277" s="73">
        <v>32</v>
      </c>
      <c r="BB277" s="65">
        <v>2021</v>
      </c>
    </row>
    <row r="278" spans="49:54" x14ac:dyDescent="0.25">
      <c r="AW278" s="38" t="s">
        <v>60</v>
      </c>
      <c r="AX278" s="136">
        <f t="shared" si="5"/>
        <v>0.34375</v>
      </c>
      <c r="AY278" s="76">
        <v>11</v>
      </c>
      <c r="AZ278" s="135" t="s">
        <v>175</v>
      </c>
      <c r="BA278" s="73">
        <v>32</v>
      </c>
      <c r="BB278" s="65">
        <v>2021</v>
      </c>
    </row>
    <row r="279" spans="49:54" x14ac:dyDescent="0.25">
      <c r="AW279" s="38" t="s">
        <v>82</v>
      </c>
      <c r="AX279" s="136">
        <f t="shared" si="5"/>
        <v>0.34375</v>
      </c>
      <c r="AY279" s="76">
        <v>11</v>
      </c>
      <c r="AZ279" s="135" t="s">
        <v>175</v>
      </c>
      <c r="BA279" s="73">
        <v>32</v>
      </c>
      <c r="BB279" s="65">
        <v>2018</v>
      </c>
    </row>
    <row r="280" spans="49:54" x14ac:dyDescent="0.25">
      <c r="AW280" s="38" t="s">
        <v>70</v>
      </c>
      <c r="AX280" s="136">
        <f t="shared" si="5"/>
        <v>0.34375</v>
      </c>
      <c r="AY280" s="76">
        <v>11</v>
      </c>
      <c r="AZ280" s="135" t="s">
        <v>175</v>
      </c>
      <c r="BA280" s="73">
        <v>32</v>
      </c>
      <c r="BB280" s="65">
        <v>2017</v>
      </c>
    </row>
    <row r="281" spans="49:54" x14ac:dyDescent="0.25">
      <c r="AW281" s="38" t="s">
        <v>66</v>
      </c>
      <c r="AX281" s="136">
        <f t="shared" si="5"/>
        <v>0.34375</v>
      </c>
      <c r="AY281" s="76">
        <v>11</v>
      </c>
      <c r="AZ281" s="135" t="s">
        <v>175</v>
      </c>
      <c r="BA281" s="73">
        <v>32</v>
      </c>
      <c r="BB281" s="65">
        <v>2017</v>
      </c>
    </row>
    <row r="282" spans="49:54" x14ac:dyDescent="0.25">
      <c r="AW282" s="38" t="s">
        <v>270</v>
      </c>
      <c r="AX282" s="175">
        <f t="shared" si="5"/>
        <v>0.34285714285714286</v>
      </c>
      <c r="AY282" s="38">
        <v>12</v>
      </c>
      <c r="AZ282" s="135" t="s">
        <v>175</v>
      </c>
      <c r="BA282" s="73">
        <v>35</v>
      </c>
      <c r="BB282" s="65">
        <v>2025</v>
      </c>
    </row>
    <row r="283" spans="49:54" x14ac:dyDescent="0.25">
      <c r="AW283" s="38" t="s">
        <v>198</v>
      </c>
      <c r="AX283" s="136">
        <f t="shared" si="5"/>
        <v>0.34285714285714286</v>
      </c>
      <c r="AY283" s="38">
        <v>12</v>
      </c>
      <c r="AZ283" s="135" t="s">
        <v>175</v>
      </c>
      <c r="BA283" s="38">
        <v>35</v>
      </c>
      <c r="BB283" s="38">
        <v>2024</v>
      </c>
    </row>
    <row r="284" spans="49:54" x14ac:dyDescent="0.25">
      <c r="AW284" s="38" t="s">
        <v>36</v>
      </c>
      <c r="AX284" s="136">
        <f t="shared" si="5"/>
        <v>0.34285714285714286</v>
      </c>
      <c r="AY284" s="38">
        <v>12</v>
      </c>
      <c r="AZ284" s="135" t="s">
        <v>175</v>
      </c>
      <c r="BA284" s="38">
        <v>35</v>
      </c>
      <c r="BB284" s="38">
        <v>2024</v>
      </c>
    </row>
    <row r="285" spans="49:54" x14ac:dyDescent="0.25">
      <c r="AW285" s="38" t="s">
        <v>39</v>
      </c>
      <c r="AX285" s="136">
        <f t="shared" si="5"/>
        <v>0.34285714285714286</v>
      </c>
      <c r="AY285" s="38">
        <v>12</v>
      </c>
      <c r="AZ285" s="135" t="s">
        <v>175</v>
      </c>
      <c r="BA285" s="38">
        <v>35</v>
      </c>
      <c r="BB285" s="38">
        <v>2024</v>
      </c>
    </row>
    <row r="286" spans="49:54" x14ac:dyDescent="0.25">
      <c r="AW286" s="38" t="s">
        <v>48</v>
      </c>
      <c r="AX286" s="136">
        <f t="shared" si="5"/>
        <v>0.328125</v>
      </c>
      <c r="AY286" s="76">
        <v>10.5</v>
      </c>
      <c r="AZ286" s="135" t="s">
        <v>175</v>
      </c>
      <c r="BA286" s="73">
        <v>32</v>
      </c>
      <c r="BB286" s="65">
        <v>2018</v>
      </c>
    </row>
    <row r="287" spans="49:54" x14ac:dyDescent="0.25">
      <c r="AW287" s="38" t="s">
        <v>45</v>
      </c>
      <c r="AX287" s="136">
        <f t="shared" si="5"/>
        <v>0.31666666666666665</v>
      </c>
      <c r="AY287" s="76">
        <v>9.5</v>
      </c>
      <c r="AZ287" s="135" t="s">
        <v>175</v>
      </c>
      <c r="BA287" s="73">
        <v>30</v>
      </c>
      <c r="BB287" s="65">
        <v>2016</v>
      </c>
    </row>
    <row r="288" spans="49:54" x14ac:dyDescent="0.25">
      <c r="AW288" s="38" t="s">
        <v>103</v>
      </c>
      <c r="AX288" s="136">
        <f t="shared" si="5"/>
        <v>0.31666666666666665</v>
      </c>
      <c r="AY288" s="76">
        <v>9.5</v>
      </c>
      <c r="AZ288" s="135" t="s">
        <v>175</v>
      </c>
      <c r="BA288" s="73">
        <v>30</v>
      </c>
      <c r="BB288" s="65">
        <v>2015</v>
      </c>
    </row>
    <row r="289" spans="49:54" x14ac:dyDescent="0.25">
      <c r="AW289" s="38" t="s">
        <v>43</v>
      </c>
      <c r="AX289" s="175">
        <f t="shared" si="5"/>
        <v>0.31428571428571428</v>
      </c>
      <c r="AY289" s="38">
        <v>11</v>
      </c>
      <c r="AZ289" s="135" t="s">
        <v>175</v>
      </c>
      <c r="BA289" s="73">
        <v>35</v>
      </c>
      <c r="BB289" s="65">
        <v>2025</v>
      </c>
    </row>
    <row r="290" spans="49:54" x14ac:dyDescent="0.25">
      <c r="AW290" s="38" t="s">
        <v>79</v>
      </c>
      <c r="AX290" s="136">
        <f t="shared" si="5"/>
        <v>0.3125</v>
      </c>
      <c r="AY290" s="76">
        <v>10</v>
      </c>
      <c r="AZ290" s="135" t="s">
        <v>175</v>
      </c>
      <c r="BA290" s="73">
        <v>32</v>
      </c>
      <c r="BB290" s="65">
        <v>2017</v>
      </c>
    </row>
    <row r="291" spans="49:54" x14ac:dyDescent="0.25">
      <c r="AW291" s="38" t="s">
        <v>61</v>
      </c>
      <c r="AX291" s="136">
        <f t="shared" si="5"/>
        <v>0.3125</v>
      </c>
      <c r="AY291" s="76">
        <v>10</v>
      </c>
      <c r="AZ291" s="135" t="s">
        <v>175</v>
      </c>
      <c r="BA291" s="73">
        <v>32</v>
      </c>
      <c r="BB291" s="65">
        <v>2017</v>
      </c>
    </row>
    <row r="292" spans="49:54" x14ac:dyDescent="0.25">
      <c r="AW292" s="38" t="s">
        <v>66</v>
      </c>
      <c r="AX292" s="136">
        <f t="shared" si="5"/>
        <v>0.3</v>
      </c>
      <c r="AY292" s="76">
        <v>9</v>
      </c>
      <c r="AZ292" s="135" t="s">
        <v>175</v>
      </c>
      <c r="BA292" s="73">
        <v>30</v>
      </c>
      <c r="BB292" s="65">
        <v>2016</v>
      </c>
    </row>
    <row r="293" spans="49:54" x14ac:dyDescent="0.25">
      <c r="AW293" s="38" t="s">
        <v>59</v>
      </c>
      <c r="AX293" s="136">
        <f t="shared" si="5"/>
        <v>0.29411764705882354</v>
      </c>
      <c r="AY293" s="76">
        <v>10</v>
      </c>
      <c r="AZ293" s="135" t="s">
        <v>175</v>
      </c>
      <c r="BA293" s="73">
        <v>34</v>
      </c>
      <c r="BB293" s="65">
        <v>2020</v>
      </c>
    </row>
    <row r="294" spans="49:54" x14ac:dyDescent="0.25">
      <c r="AW294" s="38" t="s">
        <v>66</v>
      </c>
      <c r="AX294" s="136">
        <f t="shared" si="5"/>
        <v>0.265625</v>
      </c>
      <c r="AY294" s="76">
        <v>8.5</v>
      </c>
      <c r="AZ294" s="135" t="s">
        <v>175</v>
      </c>
      <c r="BA294" s="73">
        <v>32</v>
      </c>
      <c r="BB294" s="65">
        <v>2018</v>
      </c>
    </row>
    <row r="295" spans="49:54" x14ac:dyDescent="0.25">
      <c r="AW295" s="38" t="s">
        <v>38</v>
      </c>
      <c r="AX295" s="136">
        <f t="shared" si="5"/>
        <v>0.25</v>
      </c>
      <c r="AY295" s="76">
        <v>8</v>
      </c>
      <c r="AZ295" s="135" t="s">
        <v>175</v>
      </c>
      <c r="BA295" s="73">
        <v>32</v>
      </c>
      <c r="BB295" s="65">
        <v>2023</v>
      </c>
    </row>
    <row r="296" spans="49:54" x14ac:dyDescent="0.25">
      <c r="AW296" s="38" t="s">
        <v>40</v>
      </c>
      <c r="AX296" s="136">
        <f t="shared" si="5"/>
        <v>0.25</v>
      </c>
      <c r="AY296" s="76">
        <v>8</v>
      </c>
      <c r="AZ296" s="135" t="s">
        <v>175</v>
      </c>
      <c r="BA296" s="73">
        <v>32</v>
      </c>
      <c r="BB296" s="65">
        <v>2018</v>
      </c>
    </row>
    <row r="297" spans="49:54" x14ac:dyDescent="0.25">
      <c r="AW297" s="38" t="s">
        <v>70</v>
      </c>
      <c r="AX297" s="136">
        <f t="shared" si="5"/>
        <v>0.25</v>
      </c>
      <c r="AY297" s="76">
        <v>8</v>
      </c>
      <c r="AZ297" s="135" t="s">
        <v>175</v>
      </c>
      <c r="BA297" s="73">
        <v>32</v>
      </c>
      <c r="BB297" s="65">
        <v>2018</v>
      </c>
    </row>
    <row r="298" spans="49:54" x14ac:dyDescent="0.25">
      <c r="AW298" s="38" t="s">
        <v>56</v>
      </c>
      <c r="AX298" s="136">
        <f t="shared" si="5"/>
        <v>0.25</v>
      </c>
      <c r="AY298" s="76">
        <v>7.5</v>
      </c>
      <c r="AZ298" s="135" t="s">
        <v>175</v>
      </c>
      <c r="BA298" s="73">
        <v>30</v>
      </c>
      <c r="BB298" s="65">
        <v>2016</v>
      </c>
    </row>
    <row r="299" spans="49:54" x14ac:dyDescent="0.25">
      <c r="AW299" s="38" t="s">
        <v>68</v>
      </c>
      <c r="AX299" s="136">
        <f t="shared" si="5"/>
        <v>0.23333333333333334</v>
      </c>
      <c r="AY299" s="76">
        <v>7</v>
      </c>
      <c r="AZ299" s="135" t="s">
        <v>175</v>
      </c>
      <c r="BA299" s="73">
        <v>30</v>
      </c>
      <c r="BB299" s="65">
        <v>2016</v>
      </c>
    </row>
    <row r="300" spans="49:54" x14ac:dyDescent="0.25">
      <c r="AW300" s="38" t="s">
        <v>60</v>
      </c>
      <c r="AX300" s="136">
        <f t="shared" si="5"/>
        <v>0.22857142857142856</v>
      </c>
      <c r="AY300" s="38">
        <v>8</v>
      </c>
      <c r="AZ300" s="135" t="s">
        <v>175</v>
      </c>
      <c r="BA300" s="38">
        <v>35</v>
      </c>
      <c r="BB300" s="38">
        <v>2024</v>
      </c>
    </row>
    <row r="301" spans="49:54" x14ac:dyDescent="0.25">
      <c r="AW301" s="38" t="s">
        <v>58</v>
      </c>
      <c r="AX301" s="136">
        <f t="shared" si="5"/>
        <v>0.21875</v>
      </c>
      <c r="AY301" s="76">
        <v>7</v>
      </c>
      <c r="AZ301" s="135" t="s">
        <v>175</v>
      </c>
      <c r="BA301" s="73">
        <v>32</v>
      </c>
      <c r="BB301" s="65">
        <v>2021</v>
      </c>
    </row>
    <row r="302" spans="49:54" x14ac:dyDescent="0.25">
      <c r="AW302" s="38" t="s">
        <v>76</v>
      </c>
      <c r="AX302" s="136">
        <f t="shared" si="5"/>
        <v>0.203125</v>
      </c>
      <c r="AY302" s="76">
        <v>6.5</v>
      </c>
      <c r="AZ302" s="135" t="s">
        <v>175</v>
      </c>
      <c r="BA302" s="73">
        <v>32</v>
      </c>
      <c r="BB302" s="65">
        <v>2018</v>
      </c>
    </row>
    <row r="303" spans="49:54" x14ac:dyDescent="0.25">
      <c r="AW303" s="38" t="s">
        <v>78</v>
      </c>
      <c r="AX303" s="136">
        <f t="shared" si="5"/>
        <v>0.1875</v>
      </c>
      <c r="AY303" s="76">
        <v>6</v>
      </c>
      <c r="AZ303" s="135" t="s">
        <v>175</v>
      </c>
      <c r="BA303" s="73">
        <v>32</v>
      </c>
      <c r="BB303" s="65">
        <v>2018</v>
      </c>
    </row>
    <row r="304" spans="49:54" x14ac:dyDescent="0.25">
      <c r="AW304" s="38" t="s">
        <v>193</v>
      </c>
      <c r="AX304" s="136">
        <f t="shared" si="5"/>
        <v>0.15625</v>
      </c>
      <c r="AY304" s="76">
        <v>5</v>
      </c>
      <c r="AZ304" s="135" t="s">
        <v>175</v>
      </c>
      <c r="BA304" s="73">
        <v>32</v>
      </c>
      <c r="BB304" s="65">
        <v>2022</v>
      </c>
    </row>
    <row r="305" spans="49:54" x14ac:dyDescent="0.25">
      <c r="AW305" s="38" t="s">
        <v>104</v>
      </c>
      <c r="AX305" s="136">
        <f t="shared" si="5"/>
        <v>0.15</v>
      </c>
      <c r="AY305" s="76">
        <v>4.5</v>
      </c>
      <c r="AZ305" s="135" t="s">
        <v>175</v>
      </c>
      <c r="BA305" s="73">
        <v>30</v>
      </c>
      <c r="BB305" s="65">
        <v>2015</v>
      </c>
    </row>
    <row r="306" spans="49:54" x14ac:dyDescent="0.25">
      <c r="AW306" s="38" t="s">
        <v>105</v>
      </c>
      <c r="AX306" s="136">
        <f t="shared" si="5"/>
        <v>8.3333333333333329E-2</v>
      </c>
      <c r="AY306" s="76">
        <v>2.5</v>
      </c>
      <c r="AZ306" s="135" t="s">
        <v>175</v>
      </c>
      <c r="BA306" s="73">
        <v>30</v>
      </c>
      <c r="BB306" s="65">
        <v>2015</v>
      </c>
    </row>
    <row r="307" spans="49:54" x14ac:dyDescent="0.25">
      <c r="AW307" s="38" t="s">
        <v>67</v>
      </c>
      <c r="AX307" s="136">
        <f t="shared" si="5"/>
        <v>6.6666666666666666E-2</v>
      </c>
      <c r="AY307" s="76">
        <v>2</v>
      </c>
      <c r="AZ307" s="135" t="s">
        <v>175</v>
      </c>
      <c r="BA307" s="73">
        <v>30</v>
      </c>
      <c r="BB307" s="65">
        <v>2016</v>
      </c>
    </row>
    <row r="308" spans="49:54" x14ac:dyDescent="0.25">
      <c r="AW308" s="38" t="s">
        <v>213</v>
      </c>
      <c r="AX308" s="136">
        <f t="shared" si="5"/>
        <v>6.25E-2</v>
      </c>
      <c r="AY308" s="76">
        <v>2</v>
      </c>
      <c r="AZ308" s="135" t="s">
        <v>175</v>
      </c>
      <c r="BA308" s="73">
        <v>32</v>
      </c>
      <c r="BB308" s="65">
        <v>2023</v>
      </c>
    </row>
    <row r="309" spans="49:54" x14ac:dyDescent="0.25">
      <c r="AW309" s="38" t="s">
        <v>62</v>
      </c>
      <c r="AX309" s="136">
        <f t="shared" si="5"/>
        <v>3.3333333333333333E-2</v>
      </c>
      <c r="AY309" s="76">
        <v>1</v>
      </c>
      <c r="AZ309" s="135" t="s">
        <v>175</v>
      </c>
      <c r="BA309" s="73">
        <v>30</v>
      </c>
      <c r="BB309" s="65">
        <v>2015</v>
      </c>
    </row>
    <row r="310" spans="49:54" x14ac:dyDescent="0.25">
      <c r="AW310" s="38" t="s">
        <v>38</v>
      </c>
      <c r="AX310" s="136">
        <f t="shared" si="5"/>
        <v>3.125E-2</v>
      </c>
      <c r="AY310" s="76">
        <v>1</v>
      </c>
      <c r="AZ310" s="135" t="s">
        <v>175</v>
      </c>
      <c r="BA310" s="73">
        <v>32</v>
      </c>
      <c r="BB310" s="65">
        <v>2017</v>
      </c>
    </row>
  </sheetData>
  <sortState xmlns:xlrd2="http://schemas.microsoft.com/office/spreadsheetml/2017/richdata2" ref="AG4:AL14">
    <sortCondition descending="1" ref="AH4:AH14"/>
  </sortState>
  <phoneticPr fontId="8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A75"/>
  <sheetViews>
    <sheetView workbookViewId="0">
      <selection activeCell="F27" sqref="F27"/>
    </sheetView>
  </sheetViews>
  <sheetFormatPr defaultColWidth="8.85546875" defaultRowHeight="15" x14ac:dyDescent="0.25"/>
  <cols>
    <col min="1" max="1" width="2.7109375" customWidth="1"/>
    <col min="2" max="2" width="22.42578125" bestFit="1" customWidth="1"/>
    <col min="3" max="3" width="6.42578125" style="9" bestFit="1" customWidth="1"/>
    <col min="4" max="4" width="2.7109375" style="9" customWidth="1"/>
    <col min="5" max="5" width="5.5703125" style="9" bestFit="1" customWidth="1"/>
    <col min="6" max="6" width="5.5703125" style="9" customWidth="1"/>
    <col min="7" max="7" width="5.5703125" style="9" bestFit="1" customWidth="1"/>
    <col min="8" max="17" width="5.42578125" style="9" bestFit="1" customWidth="1"/>
    <col min="19" max="19" width="19.7109375" customWidth="1"/>
    <col min="20" max="20" width="5.5703125" bestFit="1" customWidth="1"/>
    <col min="21" max="21" width="2.7109375" customWidth="1"/>
    <col min="22" max="22" width="19.7109375" customWidth="1"/>
    <col min="23" max="23" width="5.5703125" bestFit="1" customWidth="1"/>
    <col min="24" max="24" width="2.7109375" customWidth="1"/>
    <col min="25" max="25" width="19.7109375" bestFit="1" customWidth="1"/>
    <col min="26" max="26" width="5.42578125" bestFit="1" customWidth="1"/>
    <col min="27" max="27" width="2.7109375" customWidth="1"/>
    <col min="28" max="28" width="19.7109375" bestFit="1" customWidth="1"/>
    <col min="29" max="29" width="5.42578125" bestFit="1" customWidth="1"/>
    <col min="30" max="30" width="2.7109375" customWidth="1"/>
    <col min="31" max="31" width="19.7109375" bestFit="1" customWidth="1"/>
    <col min="32" max="32" width="5.42578125" bestFit="1" customWidth="1"/>
    <col min="33" max="33" width="2.7109375" customWidth="1"/>
    <col min="34" max="34" width="19.7109375" bestFit="1" customWidth="1"/>
    <col min="35" max="35" width="5.42578125" bestFit="1" customWidth="1"/>
    <col min="36" max="36" width="2.7109375" customWidth="1"/>
    <col min="37" max="37" width="19.7109375" bestFit="1" customWidth="1"/>
    <col min="38" max="38" width="5.42578125" bestFit="1" customWidth="1"/>
    <col min="39" max="39" width="2.7109375" customWidth="1"/>
    <col min="40" max="40" width="19.7109375" bestFit="1" customWidth="1"/>
    <col min="41" max="41" width="5.42578125" bestFit="1" customWidth="1"/>
    <col min="42" max="42" width="2.7109375" customWidth="1"/>
    <col min="43" max="43" width="19.7109375" bestFit="1" customWidth="1"/>
    <col min="44" max="44" width="5.42578125" bestFit="1" customWidth="1"/>
    <col min="45" max="45" width="2.7109375" customWidth="1"/>
    <col min="46" max="46" width="19.7109375" bestFit="1" customWidth="1"/>
    <col min="47" max="47" width="5.42578125" bestFit="1" customWidth="1"/>
    <col min="48" max="48" width="2.7109375" customWidth="1"/>
    <col min="49" max="49" width="19.7109375" bestFit="1" customWidth="1"/>
    <col min="50" max="50" width="5.42578125" bestFit="1" customWidth="1"/>
    <col min="51" max="51" width="2.7109375" customWidth="1"/>
    <col min="52" max="52" width="19.7109375" bestFit="1" customWidth="1"/>
    <col min="53" max="53" width="5.42578125" bestFit="1" customWidth="1"/>
  </cols>
  <sheetData>
    <row r="1" spans="2:53" x14ac:dyDescent="0.25">
      <c r="B1" s="9"/>
    </row>
    <row r="2" spans="2:53" x14ac:dyDescent="0.25">
      <c r="B2" s="9"/>
      <c r="F2" s="9">
        <f>SUM(F4:F101)</f>
        <v>9</v>
      </c>
      <c r="G2" s="9">
        <f>SUM(G4:G101)</f>
        <v>15.999999999999998</v>
      </c>
      <c r="H2" s="9">
        <f>SUM(H4:H101)</f>
        <v>15.999999999999998</v>
      </c>
      <c r="I2" s="9">
        <f t="shared" ref="I2:Q2" si="0">SUM(I4:I101)</f>
        <v>15.000000000000002</v>
      </c>
      <c r="J2" s="9">
        <f t="shared" si="0"/>
        <v>15.000000000000002</v>
      </c>
      <c r="K2" s="9">
        <f t="shared" si="0"/>
        <v>15</v>
      </c>
      <c r="L2" s="9">
        <f t="shared" si="0"/>
        <v>16</v>
      </c>
      <c r="M2" s="9">
        <f t="shared" si="0"/>
        <v>16</v>
      </c>
      <c r="N2" s="9">
        <f t="shared" si="0"/>
        <v>15</v>
      </c>
      <c r="O2" s="9">
        <f t="shared" si="0"/>
        <v>15</v>
      </c>
      <c r="P2" s="9">
        <f t="shared" si="0"/>
        <v>14.999999999999996</v>
      </c>
      <c r="Q2" s="9">
        <f t="shared" si="0"/>
        <v>15</v>
      </c>
    </row>
    <row r="3" spans="2:53" s="10" customFormat="1" x14ac:dyDescent="0.25">
      <c r="B3" s="33" t="s">
        <v>205</v>
      </c>
      <c r="C3" s="33" t="s">
        <v>2</v>
      </c>
      <c r="E3" s="10" t="s">
        <v>163</v>
      </c>
      <c r="F3" s="10">
        <v>2026</v>
      </c>
      <c r="G3" s="10">
        <v>2025</v>
      </c>
      <c r="H3" s="10">
        <v>2024</v>
      </c>
      <c r="I3" s="10">
        <v>2023</v>
      </c>
      <c r="J3" s="10">
        <v>2022</v>
      </c>
      <c r="K3" s="10">
        <v>2021</v>
      </c>
      <c r="L3" s="10">
        <v>2020</v>
      </c>
      <c r="M3" s="10">
        <v>2019</v>
      </c>
      <c r="N3" s="10">
        <v>2018</v>
      </c>
      <c r="O3" s="10">
        <v>2017</v>
      </c>
      <c r="P3" s="10">
        <v>2016</v>
      </c>
      <c r="Q3" s="10">
        <v>2015</v>
      </c>
      <c r="S3" s="33" t="s">
        <v>205</v>
      </c>
      <c r="T3" s="33">
        <v>2026</v>
      </c>
      <c r="V3" s="33" t="s">
        <v>205</v>
      </c>
      <c r="W3" s="33">
        <v>2025</v>
      </c>
      <c r="Y3" s="33" t="s">
        <v>205</v>
      </c>
      <c r="Z3" s="33">
        <v>2024</v>
      </c>
      <c r="AB3" s="33" t="s">
        <v>205</v>
      </c>
      <c r="AC3" s="33">
        <v>2023</v>
      </c>
      <c r="AE3" s="33" t="s">
        <v>205</v>
      </c>
      <c r="AF3" s="33">
        <v>2022</v>
      </c>
      <c r="AH3" s="33" t="s">
        <v>205</v>
      </c>
      <c r="AI3" s="33">
        <v>2021</v>
      </c>
      <c r="AK3" s="33" t="s">
        <v>205</v>
      </c>
      <c r="AL3" s="33">
        <v>2020</v>
      </c>
      <c r="AN3" s="33" t="s">
        <v>205</v>
      </c>
      <c r="AO3" s="33">
        <v>2019</v>
      </c>
      <c r="AQ3" s="33" t="s">
        <v>205</v>
      </c>
      <c r="AR3" s="33">
        <v>2018</v>
      </c>
      <c r="AT3" s="33" t="s">
        <v>205</v>
      </c>
      <c r="AU3" s="33">
        <v>2017</v>
      </c>
      <c r="AW3" s="33" t="s">
        <v>205</v>
      </c>
      <c r="AX3" s="33">
        <v>2016</v>
      </c>
      <c r="AZ3" s="33" t="s">
        <v>205</v>
      </c>
      <c r="BA3" s="33">
        <v>2015</v>
      </c>
    </row>
    <row r="4" spans="2:53" x14ac:dyDescent="0.25">
      <c r="B4" s="25" t="s">
        <v>53</v>
      </c>
      <c r="C4" s="107">
        <f>SUM($E4:Q4)</f>
        <v>7.75</v>
      </c>
      <c r="F4" s="126">
        <f>1+1</f>
        <v>2</v>
      </c>
      <c r="G4" s="105">
        <f>1/6+1/4</f>
        <v>0.41666666666666663</v>
      </c>
      <c r="H4" s="105">
        <f>1/3</f>
        <v>0.33333333333333331</v>
      </c>
      <c r="I4" s="105">
        <f>1+1/4</f>
        <v>1.25</v>
      </c>
      <c r="J4" s="105">
        <f>1/4</f>
        <v>0.25</v>
      </c>
      <c r="K4" s="105">
        <f>1/2</f>
        <v>0.5</v>
      </c>
      <c r="L4" s="106"/>
      <c r="M4" s="106"/>
      <c r="N4" s="106"/>
      <c r="O4" s="105">
        <f>1+1/2+1/2</f>
        <v>2</v>
      </c>
      <c r="P4" s="106"/>
      <c r="Q4" s="105">
        <f>1</f>
        <v>1</v>
      </c>
      <c r="S4" s="25" t="s">
        <v>53</v>
      </c>
      <c r="T4" s="118">
        <f>1+1</f>
        <v>2</v>
      </c>
      <c r="V4" s="25" t="s">
        <v>60</v>
      </c>
      <c r="W4" s="118">
        <f>1+1+1/5+1</f>
        <v>3.2</v>
      </c>
      <c r="Y4" s="25" t="s">
        <v>45</v>
      </c>
      <c r="Z4" s="118">
        <f>1+1</f>
        <v>2</v>
      </c>
      <c r="AB4" s="25" t="s">
        <v>251</v>
      </c>
      <c r="AC4" s="118">
        <f>1+1+1/3</f>
        <v>2.3333333333333335</v>
      </c>
      <c r="AE4" s="25" t="s">
        <v>60</v>
      </c>
      <c r="AF4" s="107">
        <f>1+1/2</f>
        <v>1.5</v>
      </c>
      <c r="AG4" s="105"/>
      <c r="AH4" s="25" t="s">
        <v>251</v>
      </c>
      <c r="AI4" s="107">
        <f>1+1+1</f>
        <v>3</v>
      </c>
      <c r="AJ4" s="105"/>
      <c r="AK4" s="25" t="s">
        <v>60</v>
      </c>
      <c r="AL4" s="107">
        <f>1/2+1/2+1+1/2</f>
        <v>2.5</v>
      </c>
      <c r="AM4" s="105"/>
      <c r="AN4" s="25" t="s">
        <v>45</v>
      </c>
      <c r="AO4" s="107">
        <f>1+1+1/8</f>
        <v>2.125</v>
      </c>
      <c r="AP4" s="105"/>
      <c r="AQ4" s="25" t="s">
        <v>59</v>
      </c>
      <c r="AR4" s="107">
        <f>1/2+1/3+1+1</f>
        <v>2.833333333333333</v>
      </c>
      <c r="AS4" s="105"/>
      <c r="AT4" s="25" t="s">
        <v>46</v>
      </c>
      <c r="AU4" s="107">
        <f>1/2+1+1</f>
        <v>2.5</v>
      </c>
      <c r="AV4" s="105"/>
      <c r="AW4" s="25" t="s">
        <v>40</v>
      </c>
      <c r="AX4" s="107">
        <f>1+1+1+1/2+1/6+1/2</f>
        <v>4.1666666666666661</v>
      </c>
      <c r="AY4" s="105"/>
      <c r="AZ4" s="25" t="s">
        <v>66</v>
      </c>
      <c r="BA4" s="107">
        <f>1+1</f>
        <v>2</v>
      </c>
    </row>
    <row r="5" spans="2:53" x14ac:dyDescent="0.25">
      <c r="B5" s="25" t="s">
        <v>78</v>
      </c>
      <c r="C5" s="107">
        <f>SUM($E5:Q5)</f>
        <v>0.14285714285714285</v>
      </c>
      <c r="F5" s="106"/>
      <c r="G5" s="106"/>
      <c r="H5" s="106"/>
      <c r="I5" s="106"/>
      <c r="J5" s="106"/>
      <c r="K5" s="106"/>
      <c r="L5" s="105">
        <f>0</f>
        <v>0</v>
      </c>
      <c r="M5" s="105">
        <f>0</f>
        <v>0</v>
      </c>
      <c r="N5" s="105">
        <f>0</f>
        <v>0</v>
      </c>
      <c r="O5" s="105">
        <f>1/7</f>
        <v>0.14285714285714285</v>
      </c>
      <c r="P5" s="106"/>
      <c r="Q5" s="106"/>
      <c r="S5" s="25" t="s">
        <v>51</v>
      </c>
      <c r="T5" s="118">
        <v>0</v>
      </c>
      <c r="V5" s="25" t="s">
        <v>240</v>
      </c>
      <c r="W5" s="118">
        <f>1/2+1/6+1</f>
        <v>1.6666666666666665</v>
      </c>
      <c r="Y5" s="25" t="s">
        <v>215</v>
      </c>
      <c r="Z5" s="118">
        <f>1+1/2</f>
        <v>1.5</v>
      </c>
      <c r="AB5" s="25" t="s">
        <v>40</v>
      </c>
      <c r="AC5" s="118">
        <f>1+1</f>
        <v>2</v>
      </c>
      <c r="AE5" s="25" t="s">
        <v>57</v>
      </c>
      <c r="AF5" s="107">
        <f>1+1/3</f>
        <v>1.3333333333333333</v>
      </c>
      <c r="AG5" s="105"/>
      <c r="AH5" s="25" t="s">
        <v>47</v>
      </c>
      <c r="AI5" s="107">
        <f>1/2+1+1/2</f>
        <v>2</v>
      </c>
      <c r="AJ5" s="105"/>
      <c r="AK5" s="25" t="s">
        <v>40</v>
      </c>
      <c r="AL5" s="107">
        <f>1/2+1/2+1/2+1/2+1/3</f>
        <v>2.3333333333333335</v>
      </c>
      <c r="AM5" s="105"/>
      <c r="AN5" s="25" t="s">
        <v>60</v>
      </c>
      <c r="AO5" s="107">
        <f>1+1/4+1/2</f>
        <v>1.75</v>
      </c>
      <c r="AP5" s="105"/>
      <c r="AQ5" s="25" t="s">
        <v>40</v>
      </c>
      <c r="AR5" s="107">
        <f>1+1/2+1</f>
        <v>2.5</v>
      </c>
      <c r="AS5" s="105"/>
      <c r="AT5" s="25" t="s">
        <v>53</v>
      </c>
      <c r="AU5" s="107">
        <f>1+1/2+1/2</f>
        <v>2</v>
      </c>
      <c r="AV5" s="105"/>
      <c r="AW5" s="25" t="s">
        <v>55</v>
      </c>
      <c r="AX5" s="107">
        <f>1+1/4+1</f>
        <v>2.25</v>
      </c>
      <c r="AY5" s="105"/>
      <c r="AZ5" s="25" t="s">
        <v>40</v>
      </c>
      <c r="BA5" s="107">
        <f>1+1</f>
        <v>2</v>
      </c>
    </row>
    <row r="6" spans="2:53" x14ac:dyDescent="0.25">
      <c r="B6" s="25" t="s">
        <v>241</v>
      </c>
      <c r="C6" s="107">
        <f>SUM($E6:Q6)</f>
        <v>0</v>
      </c>
      <c r="F6" s="106"/>
      <c r="G6" s="106"/>
      <c r="H6" s="105">
        <v>0</v>
      </c>
      <c r="I6" s="106"/>
      <c r="J6" s="106"/>
      <c r="K6" s="106"/>
      <c r="L6" s="106"/>
      <c r="M6" s="106"/>
      <c r="N6" s="106"/>
      <c r="O6" s="106"/>
      <c r="P6" s="106"/>
      <c r="Q6" s="106"/>
      <c r="S6" s="25" t="s">
        <v>50</v>
      </c>
      <c r="T6" s="118">
        <f>1/7</f>
        <v>0.14285714285714285</v>
      </c>
      <c r="V6" s="25" t="s">
        <v>191</v>
      </c>
      <c r="W6" s="118">
        <f>1+1/2</f>
        <v>1.5</v>
      </c>
      <c r="Y6" s="25" t="s">
        <v>41</v>
      </c>
      <c r="Z6" s="118">
        <f>1+1/4</f>
        <v>1.25</v>
      </c>
      <c r="AB6" s="25" t="s">
        <v>53</v>
      </c>
      <c r="AC6" s="118">
        <f>1+1/4</f>
        <v>1.25</v>
      </c>
      <c r="AE6" s="25" t="s">
        <v>42</v>
      </c>
      <c r="AF6" s="107">
        <f>1/3+1</f>
        <v>1.3333333333333333</v>
      </c>
      <c r="AG6" s="105"/>
      <c r="AH6" s="25" t="s">
        <v>36</v>
      </c>
      <c r="AI6" s="107">
        <f>1+1/2</f>
        <v>1.5</v>
      </c>
      <c r="AJ6" s="105"/>
      <c r="AK6" s="25" t="s">
        <v>45</v>
      </c>
      <c r="AL6" s="107">
        <f>1+1</f>
        <v>2</v>
      </c>
      <c r="AM6" s="105"/>
      <c r="AN6" s="25" t="s">
        <v>61</v>
      </c>
      <c r="AO6" s="107">
        <f>1+1/4</f>
        <v>1.25</v>
      </c>
      <c r="AP6" s="105"/>
      <c r="AQ6" s="25" t="s">
        <v>39</v>
      </c>
      <c r="AR6" s="107">
        <f>1+1/2+1</f>
        <v>2.5</v>
      </c>
      <c r="AS6" s="105"/>
      <c r="AT6" s="25" t="s">
        <v>76</v>
      </c>
      <c r="AU6" s="107">
        <f>1/3+1/2+1/2+1/7</f>
        <v>1.4761904761904761</v>
      </c>
      <c r="AV6" s="105"/>
      <c r="AW6" s="25" t="s">
        <v>60</v>
      </c>
      <c r="AX6" s="107">
        <f>1/2+1/3+1</f>
        <v>1.8333333333333333</v>
      </c>
      <c r="AY6" s="105"/>
      <c r="AZ6" s="25" t="s">
        <v>45</v>
      </c>
      <c r="BA6" s="107">
        <f>1+1</f>
        <v>2</v>
      </c>
    </row>
    <row r="7" spans="2:53" x14ac:dyDescent="0.25">
      <c r="B7" s="25" t="s">
        <v>51</v>
      </c>
      <c r="C7" s="107">
        <f>SUM($E7:Q7)</f>
        <v>0.625</v>
      </c>
      <c r="F7" s="126">
        <v>0</v>
      </c>
      <c r="G7" s="105">
        <v>0</v>
      </c>
      <c r="H7" s="105">
        <v>0</v>
      </c>
      <c r="I7" s="105">
        <v>0</v>
      </c>
      <c r="J7" s="105">
        <v>0</v>
      </c>
      <c r="K7" s="105">
        <f>1/4</f>
        <v>0.25</v>
      </c>
      <c r="L7" s="105">
        <f>0</f>
        <v>0</v>
      </c>
      <c r="M7" s="105">
        <f>1/8</f>
        <v>0.125</v>
      </c>
      <c r="N7" s="105">
        <f>0</f>
        <v>0</v>
      </c>
      <c r="O7" s="105">
        <f>0</f>
        <v>0</v>
      </c>
      <c r="P7" s="105">
        <f>1/4</f>
        <v>0.25</v>
      </c>
      <c r="Q7" s="106"/>
      <c r="S7" s="25" t="s">
        <v>59</v>
      </c>
      <c r="T7" s="118">
        <f>1</f>
        <v>1</v>
      </c>
      <c r="V7" s="25" t="s">
        <v>239</v>
      </c>
      <c r="W7" s="118">
        <f>1/5+1/4+1</f>
        <v>1.45</v>
      </c>
      <c r="Y7" s="25" t="s">
        <v>212</v>
      </c>
      <c r="Z7" s="118">
        <f>1/5+1</f>
        <v>1.2</v>
      </c>
      <c r="AB7" s="25" t="s">
        <v>55</v>
      </c>
      <c r="AC7" s="118">
        <f>1/2+1/3+1/4</f>
        <v>1.0833333333333333</v>
      </c>
      <c r="AE7" s="25" t="s">
        <v>46</v>
      </c>
      <c r="AF7" s="107">
        <f>1/3+1</f>
        <v>1.3333333333333333</v>
      </c>
      <c r="AG7" s="105"/>
      <c r="AH7" s="25" t="s">
        <v>39</v>
      </c>
      <c r="AI7" s="107">
        <f>1+1/2</f>
        <v>1.5</v>
      </c>
      <c r="AJ7" s="105"/>
      <c r="AK7" s="25" t="s">
        <v>47</v>
      </c>
      <c r="AL7" s="107">
        <f>1/2+1</f>
        <v>1.5</v>
      </c>
      <c r="AM7" s="105"/>
      <c r="AN7" s="25" t="s">
        <v>66</v>
      </c>
      <c r="AO7" s="107">
        <f>1+1/4</f>
        <v>1.25</v>
      </c>
      <c r="AP7" s="105"/>
      <c r="AQ7" s="25" t="s">
        <v>42</v>
      </c>
      <c r="AR7" s="107">
        <f>1+1</f>
        <v>2</v>
      </c>
      <c r="AS7" s="105"/>
      <c r="AT7" s="25" t="s">
        <v>54</v>
      </c>
      <c r="AU7" s="107">
        <f>1+1/7</f>
        <v>1.1428571428571428</v>
      </c>
      <c r="AV7" s="105"/>
      <c r="AW7" s="25" t="s">
        <v>56</v>
      </c>
      <c r="AX7" s="107">
        <f>1/3+1+1/6</f>
        <v>1.5</v>
      </c>
      <c r="AY7" s="105"/>
      <c r="AZ7" s="25" t="s">
        <v>68</v>
      </c>
      <c r="BA7" s="107">
        <f>1+1/2</f>
        <v>1.5</v>
      </c>
    </row>
    <row r="8" spans="2:53" x14ac:dyDescent="0.25">
      <c r="B8" s="25" t="s">
        <v>72</v>
      </c>
      <c r="C8" s="107">
        <f>SUM($E8:Q8)</f>
        <v>0</v>
      </c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5">
        <f>0</f>
        <v>0</v>
      </c>
      <c r="S8" s="25" t="s">
        <v>251</v>
      </c>
      <c r="T8" s="118">
        <v>0</v>
      </c>
      <c r="V8" s="25" t="s">
        <v>59</v>
      </c>
      <c r="W8" s="118">
        <f>1+1/5+1/5</f>
        <v>1.4</v>
      </c>
      <c r="Y8" s="25" t="s">
        <v>61</v>
      </c>
      <c r="Z8" s="118">
        <f>1</f>
        <v>1</v>
      </c>
      <c r="AB8" s="25" t="s">
        <v>43</v>
      </c>
      <c r="AC8" s="118">
        <f>1</f>
        <v>1</v>
      </c>
      <c r="AE8" s="25" t="s">
        <v>50</v>
      </c>
      <c r="AF8" s="107">
        <f>1/4+1</f>
        <v>1.25</v>
      </c>
      <c r="AG8" s="105"/>
      <c r="AH8" s="25" t="s">
        <v>37</v>
      </c>
      <c r="AI8" s="107">
        <f>1+1/2</f>
        <v>1.5</v>
      </c>
      <c r="AJ8" s="105"/>
      <c r="AK8" s="25" t="s">
        <v>42</v>
      </c>
      <c r="AL8" s="107">
        <f>1+1/2</f>
        <v>1.5</v>
      </c>
      <c r="AM8" s="105"/>
      <c r="AN8" s="25" t="s">
        <v>50</v>
      </c>
      <c r="AO8" s="107">
        <f>1+1/8</f>
        <v>1.125</v>
      </c>
      <c r="AP8" s="105"/>
      <c r="AQ8" s="25" t="s">
        <v>44</v>
      </c>
      <c r="AR8" s="107">
        <f>1/2+1</f>
        <v>1.5</v>
      </c>
      <c r="AS8" s="105"/>
      <c r="AT8" s="25" t="s">
        <v>75</v>
      </c>
      <c r="AU8" s="107">
        <f>1</f>
        <v>1</v>
      </c>
      <c r="AV8" s="105"/>
      <c r="AW8" s="25" t="s">
        <v>62</v>
      </c>
      <c r="AX8" s="107">
        <f>1</f>
        <v>1</v>
      </c>
      <c r="AY8" s="105"/>
      <c r="AZ8" s="25" t="s">
        <v>53</v>
      </c>
      <c r="BA8" s="107">
        <f>1</f>
        <v>1</v>
      </c>
    </row>
    <row r="9" spans="2:53" x14ac:dyDescent="0.25">
      <c r="B9" s="25" t="s">
        <v>67</v>
      </c>
      <c r="C9" s="107">
        <f>SUM($E9:Q9)</f>
        <v>1</v>
      </c>
      <c r="F9" s="106"/>
      <c r="G9" s="106"/>
      <c r="H9" s="106"/>
      <c r="I9" s="106"/>
      <c r="J9" s="106"/>
      <c r="K9" s="106"/>
      <c r="L9" s="106"/>
      <c r="M9" s="106"/>
      <c r="N9" s="105">
        <f>0</f>
        <v>0</v>
      </c>
      <c r="O9" s="106"/>
      <c r="P9" s="105">
        <f>0</f>
        <v>0</v>
      </c>
      <c r="Q9" s="105">
        <f>1</f>
        <v>1</v>
      </c>
      <c r="S9" s="25" t="s">
        <v>55</v>
      </c>
      <c r="T9" s="118">
        <v>0</v>
      </c>
      <c r="V9" s="25" t="s">
        <v>40</v>
      </c>
      <c r="W9" s="118">
        <f>1/6+1</f>
        <v>1.1666666666666667</v>
      </c>
      <c r="Y9" s="25" t="s">
        <v>62</v>
      </c>
      <c r="Z9" s="118">
        <f>1</f>
        <v>1</v>
      </c>
      <c r="AB9" s="25" t="s">
        <v>62</v>
      </c>
      <c r="AC9" s="118">
        <f>1</f>
        <v>1</v>
      </c>
      <c r="AE9" s="25" t="s">
        <v>55</v>
      </c>
      <c r="AF9" s="107">
        <f>1</f>
        <v>1</v>
      </c>
      <c r="AG9" s="105"/>
      <c r="AH9" s="25" t="s">
        <v>50</v>
      </c>
      <c r="AI9" s="107">
        <f>1</f>
        <v>1</v>
      </c>
      <c r="AJ9" s="105"/>
      <c r="AK9" s="25" t="s">
        <v>39</v>
      </c>
      <c r="AL9" s="107">
        <f>1+1/2</f>
        <v>1.5</v>
      </c>
      <c r="AM9" s="105"/>
      <c r="AN9" s="25" t="s">
        <v>47</v>
      </c>
      <c r="AO9" s="107">
        <f>1+1/8</f>
        <v>1.125</v>
      </c>
      <c r="AP9" s="105"/>
      <c r="AQ9" s="25" t="s">
        <v>55</v>
      </c>
      <c r="AR9" s="107">
        <f>1/3+1</f>
        <v>1.3333333333333333</v>
      </c>
      <c r="AS9" s="105"/>
      <c r="AT9" s="25" t="s">
        <v>70</v>
      </c>
      <c r="AU9" s="107">
        <f>1</f>
        <v>1</v>
      </c>
      <c r="AV9" s="105"/>
      <c r="AW9" s="25" t="s">
        <v>48</v>
      </c>
      <c r="AX9" s="107">
        <f>1/4+1/2+1/6</f>
        <v>0.91666666666666663</v>
      </c>
      <c r="AY9" s="105"/>
      <c r="AZ9" s="25" t="s">
        <v>67</v>
      </c>
      <c r="BA9" s="107">
        <f>1</f>
        <v>1</v>
      </c>
    </row>
    <row r="10" spans="2:53" x14ac:dyDescent="0.25">
      <c r="B10" s="25" t="s">
        <v>81</v>
      </c>
      <c r="C10" s="107">
        <f>SUM($E10:Q10)</f>
        <v>0</v>
      </c>
      <c r="F10" s="106"/>
      <c r="G10" s="106"/>
      <c r="H10" s="106"/>
      <c r="I10" s="106"/>
      <c r="J10" s="106"/>
      <c r="K10" s="106"/>
      <c r="L10" s="106"/>
      <c r="M10" s="106"/>
      <c r="N10" s="105">
        <f>0</f>
        <v>0</v>
      </c>
      <c r="O10" s="106"/>
      <c r="P10" s="106"/>
      <c r="Q10" s="106"/>
      <c r="S10" s="25" t="s">
        <v>43</v>
      </c>
      <c r="T10" s="118">
        <v>0</v>
      </c>
      <c r="V10" s="25" t="s">
        <v>45</v>
      </c>
      <c r="W10" s="118">
        <f>1</f>
        <v>1</v>
      </c>
      <c r="Y10" s="25" t="s">
        <v>40</v>
      </c>
      <c r="Z10" s="118">
        <f>1</f>
        <v>1</v>
      </c>
      <c r="AB10" s="25" t="s">
        <v>215</v>
      </c>
      <c r="AC10" s="118">
        <f>1</f>
        <v>1</v>
      </c>
      <c r="AE10" s="25" t="s">
        <v>43</v>
      </c>
      <c r="AF10" s="107">
        <f>1</f>
        <v>1</v>
      </c>
      <c r="AG10" s="105"/>
      <c r="AH10" s="25" t="s">
        <v>59</v>
      </c>
      <c r="AI10" s="107">
        <f>1</f>
        <v>1</v>
      </c>
      <c r="AJ10" s="105"/>
      <c r="AK10" s="25" t="s">
        <v>55</v>
      </c>
      <c r="AL10" s="107">
        <f>1/2+1/2+1/3</f>
        <v>1.3333333333333333</v>
      </c>
      <c r="AM10" s="105"/>
      <c r="AN10" s="25" t="s">
        <v>42</v>
      </c>
      <c r="AO10" s="107">
        <f>1/2+1/8+1/2</f>
        <v>1.125</v>
      </c>
      <c r="AP10" s="105"/>
      <c r="AQ10" s="25" t="s">
        <v>36</v>
      </c>
      <c r="AR10" s="107">
        <f>1</f>
        <v>1</v>
      </c>
      <c r="AS10" s="105"/>
      <c r="AT10" s="25" t="s">
        <v>48</v>
      </c>
      <c r="AU10" s="107">
        <f>1</f>
        <v>1</v>
      </c>
      <c r="AV10" s="105"/>
      <c r="AW10" s="25" t="s">
        <v>44</v>
      </c>
      <c r="AX10" s="107">
        <f>1/5+1/3+1/6</f>
        <v>0.7</v>
      </c>
      <c r="AY10" s="105"/>
      <c r="AZ10" s="25" t="s">
        <v>70</v>
      </c>
      <c r="BA10" s="107">
        <f>1</f>
        <v>1</v>
      </c>
    </row>
    <row r="11" spans="2:53" x14ac:dyDescent="0.25">
      <c r="B11" s="25" t="s">
        <v>50</v>
      </c>
      <c r="C11" s="107">
        <f>SUM($E11:Q11)</f>
        <v>3.6845238095238093</v>
      </c>
      <c r="F11" s="126">
        <f>1/7</f>
        <v>0.14285714285714285</v>
      </c>
      <c r="G11" s="105">
        <v>0</v>
      </c>
      <c r="H11" s="105">
        <v>0</v>
      </c>
      <c r="I11" s="105">
        <v>0</v>
      </c>
      <c r="J11" s="105">
        <f>1/4+1</f>
        <v>1.25</v>
      </c>
      <c r="K11" s="105">
        <f>1</f>
        <v>1</v>
      </c>
      <c r="L11" s="105">
        <f>0</f>
        <v>0</v>
      </c>
      <c r="M11" s="105">
        <f>1+1/8</f>
        <v>1.125</v>
      </c>
      <c r="N11" s="105">
        <f>0</f>
        <v>0</v>
      </c>
      <c r="O11" s="105">
        <f>0</f>
        <v>0</v>
      </c>
      <c r="P11" s="105">
        <f>1/6</f>
        <v>0.16666666666666666</v>
      </c>
      <c r="Q11" s="105">
        <f>0</f>
        <v>0</v>
      </c>
      <c r="S11" s="25" t="s">
        <v>47</v>
      </c>
      <c r="T11" s="118">
        <f>1/7</f>
        <v>0.14285714285714285</v>
      </c>
      <c r="V11" s="25" t="s">
        <v>62</v>
      </c>
      <c r="W11" s="118">
        <f>1</f>
        <v>1</v>
      </c>
      <c r="Y11" s="25" t="s">
        <v>253</v>
      </c>
      <c r="Z11" s="118">
        <f>1/2+1/2</f>
        <v>1</v>
      </c>
      <c r="AB11" s="25" t="s">
        <v>45</v>
      </c>
      <c r="AC11" s="118">
        <f>1</f>
        <v>1</v>
      </c>
      <c r="AE11" s="25" t="s">
        <v>44</v>
      </c>
      <c r="AF11" s="107">
        <f>1</f>
        <v>1</v>
      </c>
      <c r="AG11" s="105"/>
      <c r="AH11" s="25" t="s">
        <v>42</v>
      </c>
      <c r="AI11" s="107">
        <f>1/2+1/2</f>
        <v>1</v>
      </c>
      <c r="AJ11" s="105"/>
      <c r="AK11" s="25" t="s">
        <v>61</v>
      </c>
      <c r="AL11" s="107">
        <f>1/3+1</f>
        <v>1.3333333333333333</v>
      </c>
      <c r="AM11" s="105"/>
      <c r="AN11" s="25" t="s">
        <v>38</v>
      </c>
      <c r="AO11" s="107">
        <f>1</f>
        <v>1</v>
      </c>
      <c r="AP11" s="105"/>
      <c r="AQ11" s="25" t="s">
        <v>56</v>
      </c>
      <c r="AR11" s="107">
        <f>1</f>
        <v>1</v>
      </c>
      <c r="AS11" s="105"/>
      <c r="AT11" s="25" t="s">
        <v>43</v>
      </c>
      <c r="AU11" s="107">
        <f>1/2+1/7</f>
        <v>0.64285714285714279</v>
      </c>
      <c r="AV11" s="105"/>
      <c r="AW11" s="25" t="s">
        <v>66</v>
      </c>
      <c r="AX11" s="107">
        <f>1/2+1/5</f>
        <v>0.7</v>
      </c>
      <c r="AY11" s="105"/>
      <c r="AZ11" s="25" t="s">
        <v>47</v>
      </c>
      <c r="BA11" s="107">
        <f>1</f>
        <v>1</v>
      </c>
    </row>
    <row r="12" spans="2:53" x14ac:dyDescent="0.25">
      <c r="B12" s="25" t="s">
        <v>75</v>
      </c>
      <c r="C12" s="107">
        <f>SUM($E12:Q12)</f>
        <v>1</v>
      </c>
      <c r="F12" s="106"/>
      <c r="G12" s="106"/>
      <c r="H12" s="106"/>
      <c r="I12" s="106"/>
      <c r="J12" s="106"/>
      <c r="K12" s="106"/>
      <c r="L12" s="106"/>
      <c r="M12" s="106"/>
      <c r="N12" s="105">
        <f>0</f>
        <v>0</v>
      </c>
      <c r="O12" s="105">
        <f>1</f>
        <v>1</v>
      </c>
      <c r="P12" s="106"/>
      <c r="Q12" s="106"/>
      <c r="S12" s="25" t="s">
        <v>61</v>
      </c>
      <c r="T12" s="118">
        <v>0</v>
      </c>
      <c r="V12" s="25" t="s">
        <v>41</v>
      </c>
      <c r="W12" s="118">
        <f>1/5+1/5+1/6</f>
        <v>0.56666666666666665</v>
      </c>
      <c r="Y12" s="25" t="s">
        <v>46</v>
      </c>
      <c r="Z12" s="118">
        <f>1</f>
        <v>1</v>
      </c>
      <c r="AB12" s="25" t="s">
        <v>224</v>
      </c>
      <c r="AC12" s="118">
        <f>1</f>
        <v>1</v>
      </c>
      <c r="AE12" s="25" t="s">
        <v>62</v>
      </c>
      <c r="AF12" s="107">
        <f>1</f>
        <v>1</v>
      </c>
      <c r="AG12" s="105"/>
      <c r="AH12" s="25" t="s">
        <v>53</v>
      </c>
      <c r="AI12" s="107">
        <f>1/2</f>
        <v>0.5</v>
      </c>
      <c r="AJ12" s="105"/>
      <c r="AK12" s="25" t="s">
        <v>62</v>
      </c>
      <c r="AL12" s="107">
        <f>1/2+1/3</f>
        <v>0.83333333333333326</v>
      </c>
      <c r="AM12" s="105"/>
      <c r="AN12" s="25" t="s">
        <v>46</v>
      </c>
      <c r="AO12" s="107">
        <f>1/4+1/4+1/2</f>
        <v>1</v>
      </c>
      <c r="AP12" s="105"/>
      <c r="AQ12" s="25" t="s">
        <v>82</v>
      </c>
      <c r="AR12" s="107">
        <f>1/3</f>
        <v>0.33333333333333331</v>
      </c>
      <c r="AS12" s="105"/>
      <c r="AT12" s="25" t="s">
        <v>42</v>
      </c>
      <c r="AU12" s="107">
        <f>1/2+1/7</f>
        <v>0.64285714285714279</v>
      </c>
      <c r="AV12" s="105"/>
      <c r="AW12" s="25" t="s">
        <v>43</v>
      </c>
      <c r="AX12" s="107">
        <f>1/5+1/4+1/6</f>
        <v>0.6166666666666667</v>
      </c>
      <c r="AY12" s="105"/>
      <c r="AZ12" s="25" t="s">
        <v>60</v>
      </c>
      <c r="BA12" s="107">
        <f>1</f>
        <v>1</v>
      </c>
    </row>
    <row r="13" spans="2:53" x14ac:dyDescent="0.25">
      <c r="B13" s="25" t="s">
        <v>79</v>
      </c>
      <c r="C13" s="107">
        <f>SUM($E13:Q13)</f>
        <v>0.5</v>
      </c>
      <c r="F13" s="106"/>
      <c r="G13" s="106"/>
      <c r="H13" s="106"/>
      <c r="I13" s="106"/>
      <c r="J13" s="106"/>
      <c r="K13" s="106"/>
      <c r="L13" s="106"/>
      <c r="M13" s="106"/>
      <c r="N13" s="106"/>
      <c r="O13" s="105">
        <f>1/2</f>
        <v>0.5</v>
      </c>
      <c r="P13" s="106"/>
      <c r="Q13" s="106"/>
      <c r="S13" s="25" t="s">
        <v>68</v>
      </c>
      <c r="T13" s="118">
        <f>1/7</f>
        <v>0.14285714285714285</v>
      </c>
      <c r="V13" s="25" t="s">
        <v>253</v>
      </c>
      <c r="W13" s="118">
        <f>1/2</f>
        <v>0.5</v>
      </c>
      <c r="Y13" s="25" t="s">
        <v>224</v>
      </c>
      <c r="Z13" s="118">
        <f>1</f>
        <v>1</v>
      </c>
      <c r="AB13" s="25" t="s">
        <v>212</v>
      </c>
      <c r="AC13" s="118">
        <f>1/2</f>
        <v>0.5</v>
      </c>
      <c r="AE13" s="25" t="s">
        <v>37</v>
      </c>
      <c r="AF13" s="107">
        <f>1</f>
        <v>1</v>
      </c>
      <c r="AG13" s="105"/>
      <c r="AH13" s="25" t="s">
        <v>40</v>
      </c>
      <c r="AI13" s="107">
        <f>1/2</f>
        <v>0.5</v>
      </c>
      <c r="AJ13" s="105"/>
      <c r="AK13" s="25" t="s">
        <v>43</v>
      </c>
      <c r="AL13" s="107">
        <f>1/2</f>
        <v>0.5</v>
      </c>
      <c r="AM13" s="105"/>
      <c r="AN13" s="25" t="s">
        <v>82</v>
      </c>
      <c r="AO13" s="107">
        <f>1</f>
        <v>1</v>
      </c>
      <c r="AP13" s="105"/>
      <c r="AQ13" s="25" t="s">
        <v>78</v>
      </c>
      <c r="AR13" s="107">
        <f>0</f>
        <v>0</v>
      </c>
      <c r="AS13" s="105"/>
      <c r="AT13" s="25" t="s">
        <v>79</v>
      </c>
      <c r="AU13" s="107">
        <f>1/2</f>
        <v>0.5</v>
      </c>
      <c r="AV13" s="105"/>
      <c r="AW13" s="25" t="s">
        <v>70</v>
      </c>
      <c r="AX13" s="107">
        <f>1/2</f>
        <v>0.5</v>
      </c>
      <c r="AY13" s="105"/>
      <c r="AZ13" s="25" t="s">
        <v>56</v>
      </c>
      <c r="BA13" s="107">
        <f>1</f>
        <v>1</v>
      </c>
    </row>
    <row r="14" spans="2:53" x14ac:dyDescent="0.25">
      <c r="B14" s="25" t="s">
        <v>59</v>
      </c>
      <c r="C14" s="107">
        <f>SUM($E14:Q14)</f>
        <v>6.5666666666666664</v>
      </c>
      <c r="E14" s="105"/>
      <c r="F14" s="126">
        <f>1</f>
        <v>1</v>
      </c>
      <c r="G14" s="105">
        <f>1+1/5+1/5</f>
        <v>1.4</v>
      </c>
      <c r="H14" s="105">
        <v>0</v>
      </c>
      <c r="I14" s="105">
        <v>0</v>
      </c>
      <c r="J14" s="105">
        <f>1/3</f>
        <v>0.33333333333333331</v>
      </c>
      <c r="K14" s="105">
        <f>1</f>
        <v>1</v>
      </c>
      <c r="L14" s="105">
        <f>0</f>
        <v>0</v>
      </c>
      <c r="M14" s="105">
        <f>0</f>
        <v>0</v>
      </c>
      <c r="N14" s="105">
        <f>1/2+1/3+1+1</f>
        <v>2.833333333333333</v>
      </c>
      <c r="O14" s="106"/>
      <c r="P14" s="106"/>
      <c r="Q14" s="106"/>
      <c r="S14" s="25" t="s">
        <v>52</v>
      </c>
      <c r="T14" s="118">
        <v>0</v>
      </c>
      <c r="V14" s="25" t="s">
        <v>55</v>
      </c>
      <c r="W14" s="118">
        <f>1/2</f>
        <v>0.5</v>
      </c>
      <c r="Y14" s="25" t="s">
        <v>196</v>
      </c>
      <c r="Z14" s="118">
        <f>1/5+1/2</f>
        <v>0.7</v>
      </c>
      <c r="AB14" s="25" t="s">
        <v>61</v>
      </c>
      <c r="AC14" s="118">
        <f t="shared" ref="AC14:AC20" si="1">1/3</f>
        <v>0.33333333333333331</v>
      </c>
      <c r="AE14" s="25" t="s">
        <v>190</v>
      </c>
      <c r="AF14" s="107">
        <f>1/3+1/4</f>
        <v>0.58333333333333326</v>
      </c>
      <c r="AG14" s="105"/>
      <c r="AH14" s="25" t="s">
        <v>56</v>
      </c>
      <c r="AI14" s="107">
        <f>1/2</f>
        <v>0.5</v>
      </c>
      <c r="AJ14" s="105"/>
      <c r="AK14" s="25" t="s">
        <v>56</v>
      </c>
      <c r="AL14" s="107">
        <f>1/3</f>
        <v>0.33333333333333331</v>
      </c>
      <c r="AM14" s="105"/>
      <c r="AN14" s="25" t="s">
        <v>54</v>
      </c>
      <c r="AO14" s="107">
        <f>1</f>
        <v>1</v>
      </c>
      <c r="AP14" s="105"/>
      <c r="AQ14" s="25" t="s">
        <v>51</v>
      </c>
      <c r="AR14" s="107">
        <f>0</f>
        <v>0</v>
      </c>
      <c r="AS14" s="105"/>
      <c r="AT14" s="25" t="s">
        <v>55</v>
      </c>
      <c r="AU14" s="107">
        <f>1/2</f>
        <v>0.5</v>
      </c>
      <c r="AV14" s="105"/>
      <c r="AW14" s="25" t="s">
        <v>51</v>
      </c>
      <c r="AX14" s="107">
        <f>1/4</f>
        <v>0.25</v>
      </c>
      <c r="AY14" s="105"/>
      <c r="AZ14" s="25" t="s">
        <v>48</v>
      </c>
      <c r="BA14" s="107">
        <f>1</f>
        <v>1</v>
      </c>
    </row>
    <row r="15" spans="2:53" x14ac:dyDescent="0.25">
      <c r="B15" s="25" t="s">
        <v>251</v>
      </c>
      <c r="C15" s="107">
        <f>SUM($E15:Q15)</f>
        <v>5.666666666666667</v>
      </c>
      <c r="F15" s="126">
        <v>0</v>
      </c>
      <c r="G15" s="105">
        <v>0</v>
      </c>
      <c r="H15" s="105">
        <v>0</v>
      </c>
      <c r="I15" s="105">
        <f>1+1+1/3</f>
        <v>2.3333333333333335</v>
      </c>
      <c r="J15" s="105">
        <f>1/3</f>
        <v>0.33333333333333331</v>
      </c>
      <c r="K15" s="105">
        <f>1+1+1</f>
        <v>3</v>
      </c>
      <c r="L15" s="106"/>
      <c r="M15" s="106"/>
      <c r="N15" s="106"/>
      <c r="O15" s="106"/>
      <c r="P15" s="106"/>
      <c r="Q15" s="106"/>
      <c r="S15" s="25" t="s">
        <v>60</v>
      </c>
      <c r="T15" s="118">
        <v>0</v>
      </c>
      <c r="V15" s="25" t="s">
        <v>46</v>
      </c>
      <c r="W15" s="118">
        <f>1/5+1/4</f>
        <v>0.45</v>
      </c>
      <c r="Y15" s="25" t="s">
        <v>214</v>
      </c>
      <c r="Z15" s="118">
        <f>1/3+1/4</f>
        <v>0.58333333333333326</v>
      </c>
      <c r="AB15" s="25" t="s">
        <v>191</v>
      </c>
      <c r="AC15" s="118">
        <f t="shared" si="1"/>
        <v>0.33333333333333331</v>
      </c>
      <c r="AE15" s="25" t="s">
        <v>191</v>
      </c>
      <c r="AF15" s="107">
        <f>1/2</f>
        <v>0.5</v>
      </c>
      <c r="AG15" s="105"/>
      <c r="AH15" s="25" t="s">
        <v>51</v>
      </c>
      <c r="AI15" s="107">
        <f>1/4</f>
        <v>0.25</v>
      </c>
      <c r="AJ15" s="105"/>
      <c r="AK15" s="25" t="s">
        <v>48</v>
      </c>
      <c r="AL15" s="107">
        <f>1/3</f>
        <v>0.33333333333333331</v>
      </c>
      <c r="AM15" s="105"/>
      <c r="AN15" s="25" t="s">
        <v>40</v>
      </c>
      <c r="AO15" s="107">
        <f>1/4+1/8+1/2</f>
        <v>0.875</v>
      </c>
      <c r="AP15" s="105"/>
      <c r="AQ15" s="25" t="s">
        <v>67</v>
      </c>
      <c r="AR15" s="107">
        <f>0</f>
        <v>0</v>
      </c>
      <c r="AS15" s="105"/>
      <c r="AT15" s="25" t="s">
        <v>68</v>
      </c>
      <c r="AU15" s="107">
        <f>1/2</f>
        <v>0.5</v>
      </c>
      <c r="AV15" s="105"/>
      <c r="AW15" s="25" t="s">
        <v>45</v>
      </c>
      <c r="AX15" s="107">
        <f>1/5</f>
        <v>0.2</v>
      </c>
      <c r="AY15" s="105"/>
      <c r="AZ15" s="25" t="s">
        <v>105</v>
      </c>
      <c r="BA15" s="107">
        <f>1/2</f>
        <v>0.5</v>
      </c>
    </row>
    <row r="16" spans="2:53" x14ac:dyDescent="0.25">
      <c r="B16" s="25" t="s">
        <v>70</v>
      </c>
      <c r="C16" s="107">
        <f>SUM($E16:Q16)</f>
        <v>2.5</v>
      </c>
      <c r="F16" s="106"/>
      <c r="G16" s="106"/>
      <c r="H16" s="106"/>
      <c r="I16" s="106"/>
      <c r="J16" s="106"/>
      <c r="K16" s="106"/>
      <c r="L16" s="106"/>
      <c r="M16" s="106"/>
      <c r="N16" s="105">
        <f>0</f>
        <v>0</v>
      </c>
      <c r="O16" s="105">
        <f>1</f>
        <v>1</v>
      </c>
      <c r="P16" s="105">
        <f>1/2</f>
        <v>0.5</v>
      </c>
      <c r="Q16" s="105">
        <f>1</f>
        <v>1</v>
      </c>
      <c r="S16" s="25" t="s">
        <v>36</v>
      </c>
      <c r="T16" s="118">
        <v>0</v>
      </c>
      <c r="V16" s="25" t="s">
        <v>53</v>
      </c>
      <c r="W16" s="118">
        <f>1/6+1/4</f>
        <v>0.41666666666666663</v>
      </c>
      <c r="Y16" s="25" t="s">
        <v>44</v>
      </c>
      <c r="Z16" s="118">
        <f>1/2</f>
        <v>0.5</v>
      </c>
      <c r="AB16" s="25" t="s">
        <v>57</v>
      </c>
      <c r="AC16" s="118">
        <f t="shared" si="1"/>
        <v>0.33333333333333331</v>
      </c>
      <c r="AE16" s="25" t="s">
        <v>38</v>
      </c>
      <c r="AF16" s="107">
        <f>1/2</f>
        <v>0.5</v>
      </c>
      <c r="AG16" s="105"/>
      <c r="AH16" s="25" t="s">
        <v>43</v>
      </c>
      <c r="AI16" s="107">
        <f>1/4</f>
        <v>0.25</v>
      </c>
      <c r="AJ16" s="105"/>
      <c r="AK16" s="25" t="s">
        <v>78</v>
      </c>
      <c r="AL16" s="107">
        <f>0</f>
        <v>0</v>
      </c>
      <c r="AM16" s="105"/>
      <c r="AN16" s="25" t="s">
        <v>44</v>
      </c>
      <c r="AO16" s="107">
        <f>1/2+1/4</f>
        <v>0.75</v>
      </c>
      <c r="AP16" s="105"/>
      <c r="AQ16" s="25" t="s">
        <v>81</v>
      </c>
      <c r="AR16" s="107">
        <f>0</f>
        <v>0</v>
      </c>
      <c r="AS16" s="105"/>
      <c r="AT16" s="25" t="s">
        <v>44</v>
      </c>
      <c r="AU16" s="107">
        <f>1/2</f>
        <v>0.5</v>
      </c>
      <c r="AV16" s="105"/>
      <c r="AW16" s="25" t="s">
        <v>39</v>
      </c>
      <c r="AX16" s="107">
        <f>1/5</f>
        <v>0.2</v>
      </c>
      <c r="AY16" s="105"/>
      <c r="AZ16" s="25" t="s">
        <v>72</v>
      </c>
      <c r="BA16" s="107">
        <f>0</f>
        <v>0</v>
      </c>
    </row>
    <row r="17" spans="2:53" x14ac:dyDescent="0.25">
      <c r="B17" s="25" t="s">
        <v>55</v>
      </c>
      <c r="C17" s="107">
        <f>SUM($E17:Q17)</f>
        <v>8.1999999999999993</v>
      </c>
      <c r="F17" s="126">
        <v>0</v>
      </c>
      <c r="G17" s="105">
        <f>1/2</f>
        <v>0.5</v>
      </c>
      <c r="H17" s="105">
        <f>1/5</f>
        <v>0.2</v>
      </c>
      <c r="I17" s="126">
        <f>1/2+1/3+1/4</f>
        <v>1.0833333333333333</v>
      </c>
      <c r="J17" s="105">
        <f>1</f>
        <v>1</v>
      </c>
      <c r="K17" s="105">
        <f>0</f>
        <v>0</v>
      </c>
      <c r="L17" s="105">
        <f>1/2+1/2+1/3</f>
        <v>1.3333333333333333</v>
      </c>
      <c r="M17" s="105">
        <f>0</f>
        <v>0</v>
      </c>
      <c r="N17" s="105">
        <f>1/3+1</f>
        <v>1.3333333333333333</v>
      </c>
      <c r="O17" s="105">
        <f>1/2</f>
        <v>0.5</v>
      </c>
      <c r="P17" s="105">
        <f>1+1/4+1</f>
        <v>2.25</v>
      </c>
      <c r="Q17" s="105">
        <f>0</f>
        <v>0</v>
      </c>
      <c r="S17" s="25" t="s">
        <v>191</v>
      </c>
      <c r="T17" s="118">
        <f>1/7+1</f>
        <v>1.1428571428571428</v>
      </c>
      <c r="V17" s="25" t="s">
        <v>54</v>
      </c>
      <c r="W17" s="118">
        <f>1/5+1/6</f>
        <v>0.3666666666666667</v>
      </c>
      <c r="Y17" s="25" t="s">
        <v>42</v>
      </c>
      <c r="Z17" s="118">
        <f>1/2</f>
        <v>0.5</v>
      </c>
      <c r="AB17" s="25" t="s">
        <v>42</v>
      </c>
      <c r="AC17" s="118">
        <f t="shared" si="1"/>
        <v>0.33333333333333331</v>
      </c>
      <c r="AE17" s="25" t="s">
        <v>40</v>
      </c>
      <c r="AF17" s="107">
        <f>1/2</f>
        <v>0.5</v>
      </c>
      <c r="AG17" s="105"/>
      <c r="AH17" s="25" t="s">
        <v>61</v>
      </c>
      <c r="AI17" s="107">
        <f>1/4</f>
        <v>0.25</v>
      </c>
      <c r="AJ17" s="105"/>
      <c r="AK17" s="25" t="s">
        <v>51</v>
      </c>
      <c r="AL17" s="107">
        <f>0</f>
        <v>0</v>
      </c>
      <c r="AM17" s="105"/>
      <c r="AN17" s="25" t="s">
        <v>39</v>
      </c>
      <c r="AO17" s="107">
        <f>1/4</f>
        <v>0.25</v>
      </c>
      <c r="AP17" s="105"/>
      <c r="AQ17" s="25" t="s">
        <v>50</v>
      </c>
      <c r="AR17" s="107">
        <f>0</f>
        <v>0</v>
      </c>
      <c r="AS17" s="105"/>
      <c r="AT17" s="25" t="s">
        <v>56</v>
      </c>
      <c r="AU17" s="107">
        <f>1/2</f>
        <v>0.5</v>
      </c>
      <c r="AV17" s="105"/>
      <c r="AW17" s="25" t="s">
        <v>50</v>
      </c>
      <c r="AX17" s="107">
        <f>1/6</f>
        <v>0.16666666666666666</v>
      </c>
      <c r="AY17" s="105"/>
      <c r="AZ17" s="25" t="s">
        <v>50</v>
      </c>
      <c r="BA17" s="107">
        <f>0</f>
        <v>0</v>
      </c>
    </row>
    <row r="18" spans="2:53" x14ac:dyDescent="0.25">
      <c r="B18" s="25" t="s">
        <v>43</v>
      </c>
      <c r="C18" s="107">
        <f>SUM($E18:Q18)</f>
        <v>4.1761904761904765</v>
      </c>
      <c r="F18" s="126">
        <v>0</v>
      </c>
      <c r="G18" s="105">
        <f>1/6</f>
        <v>0.16666666666666666</v>
      </c>
      <c r="H18" s="105">
        <v>0</v>
      </c>
      <c r="I18" s="105">
        <f>1</f>
        <v>1</v>
      </c>
      <c r="J18" s="105">
        <f>1</f>
        <v>1</v>
      </c>
      <c r="K18" s="105">
        <f>1/4</f>
        <v>0.25</v>
      </c>
      <c r="L18" s="105">
        <f>1/2</f>
        <v>0.5</v>
      </c>
      <c r="M18" s="105">
        <f>0</f>
        <v>0</v>
      </c>
      <c r="N18" s="106"/>
      <c r="O18" s="105">
        <f>1/2+1/7</f>
        <v>0.64285714285714279</v>
      </c>
      <c r="P18" s="105">
        <f>1/5+1/4+1/6</f>
        <v>0.6166666666666667</v>
      </c>
      <c r="Q18" s="106"/>
      <c r="S18" s="25" t="s">
        <v>212</v>
      </c>
      <c r="T18" s="118">
        <v>0</v>
      </c>
      <c r="V18" s="25" t="s">
        <v>57</v>
      </c>
      <c r="W18" s="118">
        <f>1/4</f>
        <v>0.25</v>
      </c>
      <c r="Y18" s="25" t="s">
        <v>39</v>
      </c>
      <c r="Z18" s="118">
        <f>1/5+1/4</f>
        <v>0.45</v>
      </c>
      <c r="AB18" s="25" t="s">
        <v>56</v>
      </c>
      <c r="AC18" s="118">
        <f t="shared" si="1"/>
        <v>0.33333333333333331</v>
      </c>
      <c r="AE18" s="25" t="s">
        <v>59</v>
      </c>
      <c r="AF18" s="107">
        <f>1/3</f>
        <v>0.33333333333333331</v>
      </c>
      <c r="AG18" s="105"/>
      <c r="AH18" s="25" t="s">
        <v>52</v>
      </c>
      <c r="AI18" s="107">
        <f>1/4</f>
        <v>0.25</v>
      </c>
      <c r="AJ18" s="105"/>
      <c r="AK18" s="25" t="s">
        <v>50</v>
      </c>
      <c r="AL18" s="107">
        <f>0</f>
        <v>0</v>
      </c>
      <c r="AM18" s="105"/>
      <c r="AN18" s="25" t="s">
        <v>51</v>
      </c>
      <c r="AO18" s="107">
        <f>1/8</f>
        <v>0.125</v>
      </c>
      <c r="AP18" s="105"/>
      <c r="AQ18" s="25" t="s">
        <v>75</v>
      </c>
      <c r="AR18" s="107">
        <f>0</f>
        <v>0</v>
      </c>
      <c r="AS18" s="105"/>
      <c r="AT18" s="25" t="s">
        <v>77</v>
      </c>
      <c r="AU18" s="107">
        <f>1/3</f>
        <v>0.33333333333333331</v>
      </c>
      <c r="AV18" s="105"/>
      <c r="AW18" s="25" t="s">
        <v>67</v>
      </c>
      <c r="AX18" s="107">
        <f>0</f>
        <v>0</v>
      </c>
      <c r="AY18" s="105"/>
      <c r="AZ18" s="25" t="s">
        <v>55</v>
      </c>
      <c r="BA18" s="107">
        <f>0</f>
        <v>0</v>
      </c>
    </row>
    <row r="19" spans="2:53" x14ac:dyDescent="0.25">
      <c r="B19" s="25" t="s">
        <v>47</v>
      </c>
      <c r="C19" s="107">
        <f>SUM($E19:Q19)</f>
        <v>5.7678571428571423</v>
      </c>
      <c r="F19" s="126">
        <f>1/7</f>
        <v>0.14285714285714285</v>
      </c>
      <c r="G19" s="106"/>
      <c r="H19" s="106"/>
      <c r="I19" s="105">
        <v>0</v>
      </c>
      <c r="J19" s="105">
        <v>0</v>
      </c>
      <c r="K19" s="105">
        <f>1/2+1+1/2</f>
        <v>2</v>
      </c>
      <c r="L19" s="105">
        <f>1/2+1</f>
        <v>1.5</v>
      </c>
      <c r="M19" s="105">
        <f>1+1/8</f>
        <v>1.125</v>
      </c>
      <c r="N19" s="106"/>
      <c r="O19" s="105">
        <f>0</f>
        <v>0</v>
      </c>
      <c r="P19" s="106"/>
      <c r="Q19" s="105">
        <f>1</f>
        <v>1</v>
      </c>
      <c r="S19" s="25" t="s">
        <v>195</v>
      </c>
      <c r="T19" s="118">
        <v>0</v>
      </c>
      <c r="V19" s="25" t="s">
        <v>212</v>
      </c>
      <c r="W19" s="118">
        <f>1/5</f>
        <v>0.2</v>
      </c>
      <c r="Y19" s="25" t="s">
        <v>53</v>
      </c>
      <c r="Z19" s="118">
        <f>1/3</f>
        <v>0.33333333333333331</v>
      </c>
      <c r="AB19" s="25" t="s">
        <v>46</v>
      </c>
      <c r="AC19" s="118">
        <f t="shared" si="1"/>
        <v>0.33333333333333331</v>
      </c>
      <c r="AE19" s="25" t="s">
        <v>251</v>
      </c>
      <c r="AF19" s="107">
        <f>1/3</f>
        <v>0.33333333333333331</v>
      </c>
      <c r="AG19" s="105"/>
      <c r="AH19" s="25" t="s">
        <v>55</v>
      </c>
      <c r="AI19" s="107">
        <f>0</f>
        <v>0</v>
      </c>
      <c r="AJ19" s="105"/>
      <c r="AK19" s="25" t="s">
        <v>59</v>
      </c>
      <c r="AL19" s="107">
        <f>0</f>
        <v>0</v>
      </c>
      <c r="AM19" s="105"/>
      <c r="AN19" s="25" t="s">
        <v>52</v>
      </c>
      <c r="AO19" s="107">
        <f>1/8</f>
        <v>0.125</v>
      </c>
      <c r="AP19" s="105"/>
      <c r="AQ19" s="25" t="s">
        <v>70</v>
      </c>
      <c r="AR19" s="107">
        <f>0</f>
        <v>0</v>
      </c>
      <c r="AS19" s="105"/>
      <c r="AT19" s="25" t="s">
        <v>45</v>
      </c>
      <c r="AU19" s="107">
        <f>1/3</f>
        <v>0.33333333333333331</v>
      </c>
      <c r="AV19" s="105"/>
      <c r="AW19" s="25" t="s">
        <v>68</v>
      </c>
      <c r="AX19" s="107">
        <f>0</f>
        <v>0</v>
      </c>
      <c r="AY19" s="105"/>
      <c r="AZ19" s="25" t="s">
        <v>71</v>
      </c>
      <c r="BA19" s="107">
        <f>0</f>
        <v>0</v>
      </c>
    </row>
    <row r="20" spans="2:53" x14ac:dyDescent="0.25">
      <c r="B20" s="25" t="s">
        <v>61</v>
      </c>
      <c r="C20" s="107">
        <f>SUM($E20:Q20)</f>
        <v>4.1666666666666661</v>
      </c>
      <c r="F20" s="126">
        <v>0</v>
      </c>
      <c r="G20" s="105">
        <v>0</v>
      </c>
      <c r="H20" s="105">
        <f>1</f>
        <v>1</v>
      </c>
      <c r="I20" s="126">
        <f>1/3</f>
        <v>0.33333333333333331</v>
      </c>
      <c r="J20" s="105">
        <v>0</v>
      </c>
      <c r="K20" s="105">
        <f>1/4</f>
        <v>0.25</v>
      </c>
      <c r="L20" s="105">
        <f>1/3+1</f>
        <v>1.3333333333333333</v>
      </c>
      <c r="M20" s="105">
        <f>1+1/4</f>
        <v>1.25</v>
      </c>
      <c r="N20" s="105">
        <f>0</f>
        <v>0</v>
      </c>
      <c r="O20" s="105">
        <f>0</f>
        <v>0</v>
      </c>
      <c r="P20" s="106"/>
      <c r="Q20" s="106"/>
      <c r="S20" s="25" t="s">
        <v>57</v>
      </c>
      <c r="T20" s="118">
        <v>0</v>
      </c>
      <c r="V20" s="25" t="s">
        <v>48</v>
      </c>
      <c r="W20" s="118">
        <f>1/5</f>
        <v>0.2</v>
      </c>
      <c r="Y20" s="25" t="s">
        <v>191</v>
      </c>
      <c r="Z20" s="118">
        <f>1/3</f>
        <v>0.33333333333333331</v>
      </c>
      <c r="AB20" s="25" t="s">
        <v>54</v>
      </c>
      <c r="AC20" s="118">
        <f t="shared" si="1"/>
        <v>0.33333333333333331</v>
      </c>
      <c r="AE20" s="25" t="s">
        <v>53</v>
      </c>
      <c r="AF20" s="107">
        <f>1/4</f>
        <v>0.25</v>
      </c>
      <c r="AG20" s="105"/>
      <c r="AH20" s="25" t="s">
        <v>44</v>
      </c>
      <c r="AI20" s="107">
        <f>0</f>
        <v>0</v>
      </c>
      <c r="AJ20" s="105"/>
      <c r="AK20" s="25" t="s">
        <v>44</v>
      </c>
      <c r="AL20" s="107">
        <f>0</f>
        <v>0</v>
      </c>
      <c r="AM20" s="105"/>
      <c r="AN20" s="25" t="s">
        <v>48</v>
      </c>
      <c r="AO20" s="107">
        <f>1/8</f>
        <v>0.125</v>
      </c>
      <c r="AP20" s="105"/>
      <c r="AQ20" s="25" t="s">
        <v>61</v>
      </c>
      <c r="AR20" s="107">
        <f>0</f>
        <v>0</v>
      </c>
      <c r="AS20" s="105"/>
      <c r="AT20" s="25" t="s">
        <v>78</v>
      </c>
      <c r="AU20" s="107">
        <f>1/7</f>
        <v>0.14285714285714285</v>
      </c>
      <c r="AV20" s="105"/>
      <c r="AW20" s="25" t="s">
        <v>52</v>
      </c>
      <c r="AX20" s="107">
        <f>0</f>
        <v>0</v>
      </c>
      <c r="AY20" s="105"/>
      <c r="AZ20" s="25" t="s">
        <v>62</v>
      </c>
      <c r="BA20" s="107">
        <f>0</f>
        <v>0</v>
      </c>
    </row>
    <row r="21" spans="2:53" x14ac:dyDescent="0.25">
      <c r="B21" s="25" t="s">
        <v>68</v>
      </c>
      <c r="C21" s="107">
        <f>SUM($E21:Q21)</f>
        <v>2.1428571428571428</v>
      </c>
      <c r="F21" s="126">
        <f>1/7</f>
        <v>0.14285714285714285</v>
      </c>
      <c r="G21" s="106"/>
      <c r="H21" s="106"/>
      <c r="I21" s="106"/>
      <c r="J21" s="106"/>
      <c r="K21" s="106"/>
      <c r="L21" s="106"/>
      <c r="M21" s="106"/>
      <c r="N21" s="106"/>
      <c r="O21" s="105">
        <f>1/2</f>
        <v>0.5</v>
      </c>
      <c r="P21" s="105">
        <f>0</f>
        <v>0</v>
      </c>
      <c r="Q21" s="105">
        <f>1+1/2</f>
        <v>1.5</v>
      </c>
      <c r="S21" s="25" t="s">
        <v>238</v>
      </c>
      <c r="T21" s="118">
        <v>0</v>
      </c>
      <c r="V21" s="25" t="s">
        <v>43</v>
      </c>
      <c r="W21" s="118">
        <f>1/6</f>
        <v>0.16666666666666666</v>
      </c>
      <c r="Y21" s="25" t="s">
        <v>216</v>
      </c>
      <c r="Z21" s="118">
        <f>1/4</f>
        <v>0.25</v>
      </c>
      <c r="AB21" s="25" t="s">
        <v>195</v>
      </c>
      <c r="AC21" s="118">
        <f>1/4</f>
        <v>0.25</v>
      </c>
      <c r="AE21" s="25" t="s">
        <v>195</v>
      </c>
      <c r="AF21" s="107">
        <f>1/4</f>
        <v>0.25</v>
      </c>
      <c r="AG21" s="105"/>
      <c r="AH21" s="25" t="s">
        <v>60</v>
      </c>
      <c r="AI21" s="107">
        <f>0</f>
        <v>0</v>
      </c>
      <c r="AJ21" s="105"/>
      <c r="AK21" s="25" t="s">
        <v>52</v>
      </c>
      <c r="AL21" s="107">
        <f>0</f>
        <v>0</v>
      </c>
      <c r="AM21" s="105"/>
      <c r="AN21" s="25" t="s">
        <v>78</v>
      </c>
      <c r="AO21" s="107">
        <f>0</f>
        <v>0</v>
      </c>
      <c r="AP21" s="105"/>
      <c r="AQ21" s="25" t="s">
        <v>52</v>
      </c>
      <c r="AR21" s="107">
        <f>0</f>
        <v>0</v>
      </c>
      <c r="AS21" s="105"/>
      <c r="AT21" s="25" t="s">
        <v>38</v>
      </c>
      <c r="AU21" s="107">
        <f>1/7</f>
        <v>0.14285714285714285</v>
      </c>
      <c r="AV21" s="105"/>
      <c r="AX21" s="105"/>
      <c r="AY21" s="105"/>
      <c r="AZ21" s="25" t="s">
        <v>102</v>
      </c>
      <c r="BA21" s="107">
        <f>0</f>
        <v>0</v>
      </c>
    </row>
    <row r="22" spans="2:53" x14ac:dyDescent="0.25">
      <c r="B22" s="25" t="s">
        <v>44</v>
      </c>
      <c r="C22" s="107">
        <f>SUM($E22:Q22)</f>
        <v>4.95</v>
      </c>
      <c r="F22" s="106"/>
      <c r="G22" s="106"/>
      <c r="H22" s="105">
        <f>1/2</f>
        <v>0.5</v>
      </c>
      <c r="I22" s="105">
        <v>0</v>
      </c>
      <c r="J22" s="105">
        <f>1</f>
        <v>1</v>
      </c>
      <c r="K22" s="105">
        <f>0</f>
        <v>0</v>
      </c>
      <c r="L22" s="105">
        <f>0</f>
        <v>0</v>
      </c>
      <c r="M22" s="105">
        <f>1/2+1/4</f>
        <v>0.75</v>
      </c>
      <c r="N22" s="105">
        <f>1/2+1</f>
        <v>1.5</v>
      </c>
      <c r="O22" s="105">
        <f>1/2</f>
        <v>0.5</v>
      </c>
      <c r="P22" s="105">
        <f>1/5+1/3+1/6</f>
        <v>0.7</v>
      </c>
      <c r="Q22" s="106"/>
      <c r="S22" s="25" t="s">
        <v>268</v>
      </c>
      <c r="T22" s="118">
        <v>0</v>
      </c>
      <c r="V22" s="25" t="s">
        <v>51</v>
      </c>
      <c r="W22" s="118">
        <v>0</v>
      </c>
      <c r="Y22" s="25" t="s">
        <v>55</v>
      </c>
      <c r="Z22" s="118">
        <f>1/5</f>
        <v>0.2</v>
      </c>
      <c r="AB22" s="25" t="s">
        <v>214</v>
      </c>
      <c r="AC22" s="118">
        <f>1/4</f>
        <v>0.25</v>
      </c>
      <c r="AE22" s="25" t="s">
        <v>51</v>
      </c>
      <c r="AF22" s="107">
        <v>0</v>
      </c>
      <c r="AG22" s="105"/>
      <c r="AH22" s="25" t="s">
        <v>57</v>
      </c>
      <c r="AI22" s="107">
        <f>0</f>
        <v>0</v>
      </c>
      <c r="AJ22" s="105"/>
      <c r="AK22" s="25" t="s">
        <v>36</v>
      </c>
      <c r="AL22" s="107">
        <f>0</f>
        <v>0</v>
      </c>
      <c r="AM22" s="105"/>
      <c r="AN22" s="25" t="s">
        <v>59</v>
      </c>
      <c r="AO22" s="107">
        <f>0</f>
        <v>0</v>
      </c>
      <c r="AP22" s="105"/>
      <c r="AQ22" s="25" t="s">
        <v>60</v>
      </c>
      <c r="AR22" s="107">
        <f>0</f>
        <v>0</v>
      </c>
      <c r="AS22" s="105"/>
      <c r="AT22" s="25" t="s">
        <v>39</v>
      </c>
      <c r="AU22" s="107">
        <f>1/7</f>
        <v>0.14285714285714285</v>
      </c>
      <c r="AV22" s="105"/>
      <c r="AX22" s="105"/>
      <c r="AY22" s="105"/>
      <c r="AZ22" s="25" t="s">
        <v>103</v>
      </c>
      <c r="BA22" s="107">
        <f>0</f>
        <v>0</v>
      </c>
    </row>
    <row r="23" spans="2:53" x14ac:dyDescent="0.25">
      <c r="B23" s="25" t="s">
        <v>52</v>
      </c>
      <c r="C23" s="107">
        <f>SUM($E23:Q23)</f>
        <v>0.375</v>
      </c>
      <c r="F23" s="126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f>1/4</f>
        <v>0.25</v>
      </c>
      <c r="L23" s="105">
        <f>0</f>
        <v>0</v>
      </c>
      <c r="M23" s="105">
        <f>1/8</f>
        <v>0.125</v>
      </c>
      <c r="N23" s="105">
        <f>0</f>
        <v>0</v>
      </c>
      <c r="O23" s="105">
        <f>0</f>
        <v>0</v>
      </c>
      <c r="P23" s="105">
        <f>0</f>
        <v>0</v>
      </c>
      <c r="Q23" s="106"/>
      <c r="S23" s="25" t="s">
        <v>62</v>
      </c>
      <c r="T23" s="118">
        <v>0</v>
      </c>
      <c r="V23" s="25" t="s">
        <v>50</v>
      </c>
      <c r="W23" s="118">
        <v>0</v>
      </c>
      <c r="Y23" s="25" t="s">
        <v>239</v>
      </c>
      <c r="Z23" s="118">
        <f>1/5</f>
        <v>0.2</v>
      </c>
      <c r="AB23" s="25" t="s">
        <v>51</v>
      </c>
      <c r="AC23" s="118">
        <v>0</v>
      </c>
      <c r="AE23" s="25" t="s">
        <v>47</v>
      </c>
      <c r="AF23" s="107">
        <v>0</v>
      </c>
      <c r="AG23" s="105"/>
      <c r="AH23" s="25" t="s">
        <v>38</v>
      </c>
      <c r="AI23" s="107">
        <f>0</f>
        <v>0</v>
      </c>
      <c r="AJ23" s="105"/>
      <c r="AK23" s="25" t="s">
        <v>38</v>
      </c>
      <c r="AL23" s="107">
        <f>0</f>
        <v>0</v>
      </c>
      <c r="AM23" s="105"/>
      <c r="AN23" s="25" t="s">
        <v>55</v>
      </c>
      <c r="AO23" s="107">
        <f>0</f>
        <v>0</v>
      </c>
      <c r="AP23" s="105"/>
      <c r="AQ23" s="25" t="s">
        <v>66</v>
      </c>
      <c r="AR23" s="107">
        <f>0</f>
        <v>0</v>
      </c>
      <c r="AS23" s="105"/>
      <c r="AT23" s="25" t="s">
        <v>51</v>
      </c>
      <c r="AU23" s="107">
        <f>0</f>
        <v>0</v>
      </c>
      <c r="AV23" s="105"/>
      <c r="AX23" s="105"/>
      <c r="AY23" s="105"/>
      <c r="AZ23" s="25" t="s">
        <v>69</v>
      </c>
      <c r="BA23" s="107">
        <f>0</f>
        <v>0</v>
      </c>
    </row>
    <row r="24" spans="2:53" x14ac:dyDescent="0.25">
      <c r="B24" s="25" t="s">
        <v>60</v>
      </c>
      <c r="C24" s="107">
        <f>SUM($E24:Q24)</f>
        <v>11.783333333333333</v>
      </c>
      <c r="E24" s="105"/>
      <c r="F24" s="126">
        <v>0</v>
      </c>
      <c r="G24" s="105">
        <f>1+1+1/5+1</f>
        <v>3.2</v>
      </c>
      <c r="H24" s="105">
        <v>0</v>
      </c>
      <c r="I24" s="105">
        <v>0</v>
      </c>
      <c r="J24" s="105">
        <f>1+1/2</f>
        <v>1.5</v>
      </c>
      <c r="K24" s="105">
        <f>0</f>
        <v>0</v>
      </c>
      <c r="L24" s="105">
        <f>1/2+1/2+1+1/2</f>
        <v>2.5</v>
      </c>
      <c r="M24" s="105">
        <f>1+1/4+1/2</f>
        <v>1.75</v>
      </c>
      <c r="N24" s="105">
        <f>0</f>
        <v>0</v>
      </c>
      <c r="O24" s="105">
        <f>0</f>
        <v>0</v>
      </c>
      <c r="P24" s="105">
        <f>1/2+1/3+1</f>
        <v>1.8333333333333333</v>
      </c>
      <c r="Q24" s="105">
        <f>1</f>
        <v>1</v>
      </c>
      <c r="S24" s="25" t="s">
        <v>42</v>
      </c>
      <c r="T24" s="118">
        <v>0</v>
      </c>
      <c r="V24" s="25" t="s">
        <v>251</v>
      </c>
      <c r="W24" s="118">
        <v>0</v>
      </c>
      <c r="Y24" s="25" t="s">
        <v>241</v>
      </c>
      <c r="Z24" s="118">
        <v>0</v>
      </c>
      <c r="AB24" s="25" t="s">
        <v>50</v>
      </c>
      <c r="AC24" s="118">
        <v>0</v>
      </c>
      <c r="AE24" s="25" t="s">
        <v>61</v>
      </c>
      <c r="AF24" s="107">
        <v>0</v>
      </c>
      <c r="AG24" s="105"/>
      <c r="AH24" s="25" t="s">
        <v>41</v>
      </c>
      <c r="AI24" s="107">
        <f>0</f>
        <v>0</v>
      </c>
      <c r="AJ24" s="105"/>
      <c r="AK24" s="25" t="s">
        <v>41</v>
      </c>
      <c r="AL24" s="107">
        <f>0</f>
        <v>0</v>
      </c>
      <c r="AM24" s="105"/>
      <c r="AN24" s="25" t="s">
        <v>43</v>
      </c>
      <c r="AO24" s="107">
        <f>0</f>
        <v>0</v>
      </c>
      <c r="AP24" s="105"/>
      <c r="AQ24" s="25" t="s">
        <v>76</v>
      </c>
      <c r="AR24" s="107">
        <f>0</f>
        <v>0</v>
      </c>
      <c r="AS24" s="105"/>
      <c r="AT24" s="25" t="s">
        <v>50</v>
      </c>
      <c r="AU24" s="107">
        <f>0</f>
        <v>0</v>
      </c>
      <c r="AV24" s="105"/>
      <c r="AX24" s="105"/>
      <c r="AY24" s="105"/>
      <c r="AZ24" s="25" t="s">
        <v>39</v>
      </c>
      <c r="BA24" s="107">
        <f>0</f>
        <v>0</v>
      </c>
    </row>
    <row r="25" spans="2:53" x14ac:dyDescent="0.25">
      <c r="B25" s="25" t="s">
        <v>36</v>
      </c>
      <c r="C25" s="107">
        <f>SUM($E25:Q25)</f>
        <v>2.5</v>
      </c>
      <c r="F25" s="126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f>1+1/2</f>
        <v>1.5</v>
      </c>
      <c r="L25" s="105">
        <f>0</f>
        <v>0</v>
      </c>
      <c r="M25" s="105">
        <f>0</f>
        <v>0</v>
      </c>
      <c r="N25" s="105">
        <f>1</f>
        <v>1</v>
      </c>
      <c r="O25" s="106"/>
      <c r="P25" s="106"/>
      <c r="Q25" s="106"/>
      <c r="S25" s="25" t="s">
        <v>40</v>
      </c>
      <c r="T25" s="118">
        <v>0</v>
      </c>
      <c r="V25" s="25" t="s">
        <v>61</v>
      </c>
      <c r="W25" s="118">
        <v>0</v>
      </c>
      <c r="Y25" s="25" t="s">
        <v>51</v>
      </c>
      <c r="Z25" s="118">
        <v>0</v>
      </c>
      <c r="AB25" s="25" t="s">
        <v>59</v>
      </c>
      <c r="AC25" s="118">
        <v>0</v>
      </c>
      <c r="AE25" s="25" t="s">
        <v>52</v>
      </c>
      <c r="AF25" s="107">
        <v>0</v>
      </c>
      <c r="AG25" s="105"/>
      <c r="AH25" s="25" t="s">
        <v>62</v>
      </c>
      <c r="AI25" s="107">
        <f>0</f>
        <v>0</v>
      </c>
      <c r="AJ25" s="105"/>
      <c r="AK25" s="25" t="s">
        <v>46</v>
      </c>
      <c r="AL25" s="107">
        <f>0</f>
        <v>0</v>
      </c>
      <c r="AM25" s="105"/>
      <c r="AN25" s="25" t="s">
        <v>36</v>
      </c>
      <c r="AO25" s="107">
        <f>0</f>
        <v>0</v>
      </c>
      <c r="AP25" s="105"/>
      <c r="AQ25" s="25" t="s">
        <v>48</v>
      </c>
      <c r="AR25" s="107">
        <f>0</f>
        <v>0</v>
      </c>
      <c r="AS25" s="105"/>
      <c r="AT25" s="25" t="s">
        <v>47</v>
      </c>
      <c r="AU25" s="107">
        <f>0</f>
        <v>0</v>
      </c>
      <c r="AV25" s="105"/>
      <c r="AX25" s="105"/>
      <c r="AY25" s="105"/>
      <c r="AZ25" s="25" t="s">
        <v>376</v>
      </c>
      <c r="BA25" s="107">
        <f>0</f>
        <v>0</v>
      </c>
    </row>
    <row r="26" spans="2:53" x14ac:dyDescent="0.25">
      <c r="B26" s="25" t="s">
        <v>191</v>
      </c>
      <c r="C26" s="107">
        <f>SUM($E26:Q26)</f>
        <v>3.8095238095238098</v>
      </c>
      <c r="E26" s="105"/>
      <c r="F26" s="126">
        <f>1/7+1</f>
        <v>1.1428571428571428</v>
      </c>
      <c r="G26" s="105">
        <f>1+1/2</f>
        <v>1.5</v>
      </c>
      <c r="H26" s="105">
        <f>1/3</f>
        <v>0.33333333333333331</v>
      </c>
      <c r="I26" s="126">
        <f>1/3</f>
        <v>0.33333333333333331</v>
      </c>
      <c r="J26" s="105">
        <f>1/2</f>
        <v>0.5</v>
      </c>
      <c r="K26" s="106"/>
      <c r="L26" s="106"/>
      <c r="M26" s="106"/>
      <c r="N26" s="106"/>
      <c r="O26" s="106"/>
      <c r="P26" s="106"/>
      <c r="Q26" s="106"/>
      <c r="S26" s="25" t="s">
        <v>56</v>
      </c>
      <c r="T26" s="118">
        <f>1</f>
        <v>1</v>
      </c>
      <c r="V26" s="25" t="s">
        <v>52</v>
      </c>
      <c r="W26" s="118">
        <v>0</v>
      </c>
      <c r="Y26" s="25" t="s">
        <v>50</v>
      </c>
      <c r="Z26" s="118">
        <v>0</v>
      </c>
      <c r="AB26" s="25" t="s">
        <v>47</v>
      </c>
      <c r="AC26" s="118">
        <v>0</v>
      </c>
      <c r="AE26" s="25" t="s">
        <v>36</v>
      </c>
      <c r="AF26" s="107">
        <v>0</v>
      </c>
      <c r="AG26" s="105"/>
      <c r="AH26" s="25" t="s">
        <v>49</v>
      </c>
      <c r="AI26" s="107">
        <f>0</f>
        <v>0</v>
      </c>
      <c r="AJ26" s="105"/>
      <c r="AK26" s="25" t="s">
        <v>54</v>
      </c>
      <c r="AL26" s="107">
        <f>0</f>
        <v>0</v>
      </c>
      <c r="AM26" s="105"/>
      <c r="AN26" s="25" t="s">
        <v>56</v>
      </c>
      <c r="AO26" s="107">
        <f>0</f>
        <v>0</v>
      </c>
      <c r="AP26" s="105"/>
      <c r="AQ26" s="25" t="s">
        <v>46</v>
      </c>
      <c r="AR26" s="107">
        <f>0</f>
        <v>0</v>
      </c>
      <c r="AS26" s="105"/>
      <c r="AT26" s="25" t="s">
        <v>61</v>
      </c>
      <c r="AU26" s="107">
        <f>0</f>
        <v>0</v>
      </c>
      <c r="AV26" s="105"/>
      <c r="AX26" s="105"/>
      <c r="AY26" s="105"/>
      <c r="AZ26" s="25" t="s">
        <v>104</v>
      </c>
      <c r="BA26" s="107">
        <f>0</f>
        <v>0</v>
      </c>
    </row>
    <row r="27" spans="2:53" x14ac:dyDescent="0.25">
      <c r="B27" s="25" t="s">
        <v>212</v>
      </c>
      <c r="C27" s="107">
        <f>SUM($E27:Q27)</f>
        <v>1.9</v>
      </c>
      <c r="E27" s="105"/>
      <c r="F27" s="126">
        <v>0</v>
      </c>
      <c r="G27" s="105">
        <f>1/5</f>
        <v>0.2</v>
      </c>
      <c r="H27" s="105">
        <f>1/5+1</f>
        <v>1.2</v>
      </c>
      <c r="I27" s="126">
        <f>1/2</f>
        <v>0.5</v>
      </c>
      <c r="J27" s="106"/>
      <c r="K27" s="106"/>
      <c r="L27" s="106"/>
      <c r="M27" s="106"/>
      <c r="N27" s="106"/>
      <c r="O27" s="106"/>
      <c r="P27" s="106"/>
      <c r="Q27" s="106"/>
      <c r="S27" s="25" t="s">
        <v>253</v>
      </c>
      <c r="T27" s="118">
        <v>0</v>
      </c>
      <c r="V27" s="25" t="s">
        <v>36</v>
      </c>
      <c r="W27" s="118">
        <v>0</v>
      </c>
      <c r="Y27" s="25" t="s">
        <v>59</v>
      </c>
      <c r="Z27" s="118">
        <v>0</v>
      </c>
      <c r="AB27" s="25" t="s">
        <v>44</v>
      </c>
      <c r="AC27" s="118">
        <v>0</v>
      </c>
      <c r="AE27" s="25" t="s">
        <v>41</v>
      </c>
      <c r="AF27" s="107">
        <v>0</v>
      </c>
      <c r="AG27" s="105"/>
      <c r="AH27" s="25" t="s">
        <v>48</v>
      </c>
      <c r="AI27" s="107">
        <f>0</f>
        <v>0</v>
      </c>
      <c r="AJ27" s="105"/>
      <c r="AL27" s="105"/>
      <c r="AM27" s="105"/>
      <c r="AO27" s="105"/>
      <c r="AP27" s="105"/>
      <c r="AQ27" s="25" t="s">
        <v>45</v>
      </c>
      <c r="AR27" s="107">
        <f>0</f>
        <v>0</v>
      </c>
      <c r="AS27" s="105"/>
      <c r="AT27" s="25" t="s">
        <v>52</v>
      </c>
      <c r="AU27" s="107">
        <f>0</f>
        <v>0</v>
      </c>
      <c r="AV27" s="105"/>
      <c r="AX27" s="105"/>
      <c r="AY27" s="105"/>
      <c r="BA27" s="105"/>
    </row>
    <row r="28" spans="2:53" x14ac:dyDescent="0.25">
      <c r="B28" s="25" t="s">
        <v>195</v>
      </c>
      <c r="C28" s="107">
        <f>SUM($E28:Q28)</f>
        <v>0.5</v>
      </c>
      <c r="F28" s="126">
        <v>0</v>
      </c>
      <c r="G28" s="105">
        <v>0</v>
      </c>
      <c r="H28" s="105">
        <v>0</v>
      </c>
      <c r="I28" s="105">
        <f>1/4</f>
        <v>0.25</v>
      </c>
      <c r="J28" s="105">
        <f>1/4</f>
        <v>0.25</v>
      </c>
      <c r="K28" s="106"/>
      <c r="L28" s="106"/>
      <c r="M28" s="106"/>
      <c r="N28" s="106"/>
      <c r="O28" s="106"/>
      <c r="P28" s="106"/>
      <c r="Q28" s="106"/>
      <c r="S28" s="25" t="s">
        <v>48</v>
      </c>
      <c r="T28" s="118">
        <v>0</v>
      </c>
      <c r="V28" s="25" t="s">
        <v>195</v>
      </c>
      <c r="W28" s="118">
        <v>0</v>
      </c>
      <c r="Y28" s="25" t="s">
        <v>251</v>
      </c>
      <c r="Z28" s="118">
        <v>0</v>
      </c>
      <c r="AB28" s="25" t="s">
        <v>52</v>
      </c>
      <c r="AC28" s="118">
        <v>0</v>
      </c>
      <c r="AE28" s="25" t="s">
        <v>192</v>
      </c>
      <c r="AF28" s="107">
        <v>0</v>
      </c>
      <c r="AG28" s="105"/>
      <c r="AH28" s="25" t="s">
        <v>46</v>
      </c>
      <c r="AI28" s="107">
        <f>0</f>
        <v>0</v>
      </c>
      <c r="AJ28" s="105"/>
      <c r="AL28" s="105"/>
      <c r="AM28" s="105"/>
      <c r="AO28" s="105"/>
      <c r="AP28" s="105"/>
      <c r="AR28" s="105"/>
      <c r="AS28" s="105"/>
      <c r="AT28" s="25" t="s">
        <v>60</v>
      </c>
      <c r="AU28" s="107">
        <f>0</f>
        <v>0</v>
      </c>
      <c r="AV28" s="105"/>
      <c r="AX28" s="105"/>
      <c r="AY28" s="105"/>
      <c r="BA28" s="105"/>
    </row>
    <row r="29" spans="2:53" x14ac:dyDescent="0.25">
      <c r="B29" s="25" t="s">
        <v>57</v>
      </c>
      <c r="C29" s="107">
        <f>SUM($E29:Q29)</f>
        <v>1.9166666666666665</v>
      </c>
      <c r="F29" s="126">
        <v>0</v>
      </c>
      <c r="G29" s="105">
        <f>1/4</f>
        <v>0.25</v>
      </c>
      <c r="H29" s="106"/>
      <c r="I29" s="105">
        <f>1/3</f>
        <v>0.33333333333333331</v>
      </c>
      <c r="J29" s="105">
        <f>1+1/3</f>
        <v>1.3333333333333333</v>
      </c>
      <c r="K29" s="105">
        <f>0</f>
        <v>0</v>
      </c>
      <c r="L29" s="106"/>
      <c r="M29" s="106"/>
      <c r="N29" s="106"/>
      <c r="O29" s="106"/>
      <c r="P29" s="106"/>
      <c r="Q29" s="106"/>
      <c r="S29" s="25" t="s">
        <v>46</v>
      </c>
      <c r="T29" s="118">
        <v>0</v>
      </c>
      <c r="V29" s="25" t="s">
        <v>268</v>
      </c>
      <c r="W29" s="118">
        <v>0</v>
      </c>
      <c r="Y29" s="25" t="s">
        <v>43</v>
      </c>
      <c r="Z29" s="118">
        <v>0</v>
      </c>
      <c r="AB29" s="25" t="s">
        <v>60</v>
      </c>
      <c r="AC29" s="118">
        <v>0</v>
      </c>
      <c r="AE29" s="25" t="s">
        <v>56</v>
      </c>
      <c r="AF29" s="107">
        <v>0</v>
      </c>
      <c r="AG29" s="105"/>
      <c r="AH29" s="25" t="s">
        <v>45</v>
      </c>
      <c r="AI29" s="107">
        <f>0</f>
        <v>0</v>
      </c>
      <c r="AJ29" s="105"/>
      <c r="AL29" s="105"/>
      <c r="AM29" s="105"/>
      <c r="AO29" s="105"/>
      <c r="AP29" s="105"/>
      <c r="AR29" s="105"/>
      <c r="AS29" s="105"/>
      <c r="AT29" s="25" t="s">
        <v>66</v>
      </c>
      <c r="AU29" s="107">
        <f>0</f>
        <v>0</v>
      </c>
      <c r="AV29" s="105"/>
      <c r="AX29" s="105"/>
      <c r="AY29" s="105"/>
      <c r="BA29" s="105"/>
    </row>
    <row r="30" spans="2:53" x14ac:dyDescent="0.25">
      <c r="B30" s="25" t="s">
        <v>66</v>
      </c>
      <c r="C30" s="107">
        <f>SUM($E30:Q30)</f>
        <v>3.95</v>
      </c>
      <c r="F30" s="106"/>
      <c r="G30" s="106"/>
      <c r="H30" s="106"/>
      <c r="I30" s="106"/>
      <c r="J30" s="106"/>
      <c r="K30" s="106"/>
      <c r="L30" s="106"/>
      <c r="M30" s="105">
        <f>1+1/4</f>
        <v>1.25</v>
      </c>
      <c r="N30" s="105">
        <f>0</f>
        <v>0</v>
      </c>
      <c r="O30" s="105">
        <f>0</f>
        <v>0</v>
      </c>
      <c r="P30" s="105">
        <f>1/2+1/5</f>
        <v>0.7</v>
      </c>
      <c r="Q30" s="105">
        <f>1+1</f>
        <v>2</v>
      </c>
      <c r="S30" s="25" t="s">
        <v>39</v>
      </c>
      <c r="T30" s="118">
        <f>1/2</f>
        <v>0.5</v>
      </c>
      <c r="V30" s="25" t="s">
        <v>42</v>
      </c>
      <c r="W30" s="118">
        <v>0</v>
      </c>
      <c r="Y30" s="25" t="s">
        <v>52</v>
      </c>
      <c r="Z30" s="118">
        <v>0</v>
      </c>
      <c r="AB30" s="25" t="s">
        <v>36</v>
      </c>
      <c r="AC30" s="118">
        <v>0</v>
      </c>
      <c r="AE30" s="25" t="s">
        <v>48</v>
      </c>
      <c r="AF30" s="107">
        <v>0</v>
      </c>
      <c r="AG30" s="105"/>
      <c r="AH30" s="25" t="s">
        <v>58</v>
      </c>
      <c r="AI30" s="107">
        <f>0</f>
        <v>0</v>
      </c>
      <c r="AJ30" s="105"/>
      <c r="AL30" s="105"/>
      <c r="AM30" s="105"/>
      <c r="AO30" s="105"/>
      <c r="AP30" s="105"/>
      <c r="AR30" s="105"/>
      <c r="AS30" s="105"/>
      <c r="AT30" s="25" t="s">
        <v>62</v>
      </c>
      <c r="AU30" s="107">
        <f>0</f>
        <v>0</v>
      </c>
      <c r="AV30" s="105"/>
      <c r="AX30" s="105"/>
      <c r="AY30" s="105"/>
      <c r="BA30" s="105"/>
    </row>
    <row r="31" spans="2:53" x14ac:dyDescent="0.25">
      <c r="B31" s="25" t="s">
        <v>238</v>
      </c>
      <c r="C31" s="107">
        <f>SUM($E31:Q31)</f>
        <v>0</v>
      </c>
      <c r="F31" s="126">
        <v>0</v>
      </c>
      <c r="G31" s="106"/>
      <c r="H31" s="105">
        <v>0</v>
      </c>
      <c r="I31" s="106"/>
      <c r="J31" s="106"/>
      <c r="K31" s="106"/>
      <c r="L31" s="106"/>
      <c r="M31" s="106"/>
      <c r="N31" s="106"/>
      <c r="O31" s="106"/>
      <c r="P31" s="106"/>
      <c r="Q31" s="106"/>
      <c r="S31" s="25" t="s">
        <v>224</v>
      </c>
      <c r="T31" s="118">
        <v>0</v>
      </c>
      <c r="V31" s="25" t="s">
        <v>56</v>
      </c>
      <c r="W31" s="118">
        <v>0</v>
      </c>
      <c r="Y31" s="25" t="s">
        <v>60</v>
      </c>
      <c r="Z31" s="118">
        <v>0</v>
      </c>
      <c r="AB31" s="25" t="s">
        <v>38</v>
      </c>
      <c r="AC31" s="118">
        <v>0</v>
      </c>
      <c r="AE31" s="25" t="s">
        <v>193</v>
      </c>
      <c r="AF31" s="107">
        <v>0</v>
      </c>
      <c r="AG31" s="105"/>
      <c r="AH31" s="25" t="s">
        <v>54</v>
      </c>
      <c r="AI31" s="107">
        <f>0</f>
        <v>0</v>
      </c>
      <c r="AJ31" s="105"/>
      <c r="AL31" s="105"/>
      <c r="AM31" s="105"/>
      <c r="AO31" s="105"/>
      <c r="AP31" s="105"/>
      <c r="AR31" s="105"/>
      <c r="AS31" s="105"/>
      <c r="AT31" s="25" t="s">
        <v>40</v>
      </c>
      <c r="AU31" s="107">
        <f>0</f>
        <v>0</v>
      </c>
      <c r="AV31" s="105"/>
      <c r="AX31" s="105"/>
      <c r="AY31" s="105"/>
      <c r="BA31" s="105"/>
    </row>
    <row r="32" spans="2:53" x14ac:dyDescent="0.25">
      <c r="B32" s="25" t="s">
        <v>38</v>
      </c>
      <c r="C32" s="107">
        <f>SUM($E32:Q32)</f>
        <v>1.6428571428571428</v>
      </c>
      <c r="F32" s="106"/>
      <c r="G32" s="106"/>
      <c r="H32" s="106"/>
      <c r="I32" s="105">
        <v>0</v>
      </c>
      <c r="J32" s="105">
        <f>1/2</f>
        <v>0.5</v>
      </c>
      <c r="K32" s="105">
        <f>0</f>
        <v>0</v>
      </c>
      <c r="L32" s="105">
        <f>0</f>
        <v>0</v>
      </c>
      <c r="M32" s="105">
        <f>1</f>
        <v>1</v>
      </c>
      <c r="N32" s="106"/>
      <c r="O32" s="105">
        <f>1/7</f>
        <v>0.14285714285714285</v>
      </c>
      <c r="P32" s="106"/>
      <c r="Q32" s="106"/>
      <c r="S32" s="25" t="s">
        <v>240</v>
      </c>
      <c r="T32" s="118">
        <f>1/2</f>
        <v>0.5</v>
      </c>
      <c r="V32" s="25" t="s">
        <v>39</v>
      </c>
      <c r="W32" s="118">
        <v>0</v>
      </c>
      <c r="Y32" s="25" t="s">
        <v>36</v>
      </c>
      <c r="Z32" s="118">
        <v>0</v>
      </c>
      <c r="AB32" s="25" t="s">
        <v>41</v>
      </c>
      <c r="AC32" s="118">
        <v>0</v>
      </c>
      <c r="AE32" s="25" t="s">
        <v>45</v>
      </c>
      <c r="AF32" s="107">
        <v>0</v>
      </c>
      <c r="AG32" s="105"/>
      <c r="AI32" s="105"/>
      <c r="AJ32" s="105"/>
      <c r="AL32" s="105"/>
      <c r="AM32" s="105"/>
      <c r="AO32" s="105"/>
      <c r="AP32" s="105"/>
      <c r="AR32" s="105"/>
      <c r="AS32" s="105"/>
      <c r="AU32" s="105"/>
      <c r="AV32" s="105"/>
      <c r="AX32" s="105"/>
      <c r="AY32" s="105"/>
      <c r="BA32" s="105"/>
    </row>
    <row r="33" spans="2:53" x14ac:dyDescent="0.25">
      <c r="B33" s="25" t="s">
        <v>41</v>
      </c>
      <c r="C33" s="107">
        <f>SUM($E33:Q33)</f>
        <v>1.8166666666666667</v>
      </c>
      <c r="E33" s="105"/>
      <c r="F33" s="192"/>
      <c r="G33" s="105">
        <f>1/5+1/5+1/6</f>
        <v>0.56666666666666665</v>
      </c>
      <c r="H33" s="105">
        <f>1+1/4</f>
        <v>1.25</v>
      </c>
      <c r="I33" s="105">
        <v>0</v>
      </c>
      <c r="J33" s="105">
        <v>0</v>
      </c>
      <c r="K33" s="105">
        <f>0</f>
        <v>0</v>
      </c>
      <c r="L33" s="105">
        <f>0</f>
        <v>0</v>
      </c>
      <c r="M33" s="106"/>
      <c r="N33" s="106"/>
      <c r="O33" s="106"/>
      <c r="P33" s="106"/>
      <c r="Q33" s="106"/>
      <c r="S33" s="25" t="s">
        <v>194</v>
      </c>
      <c r="T33" s="118">
        <f>1/7</f>
        <v>0.14285714285714285</v>
      </c>
      <c r="V33" s="25" t="s">
        <v>224</v>
      </c>
      <c r="W33" s="118">
        <v>0</v>
      </c>
      <c r="Y33" s="25" t="s">
        <v>195</v>
      </c>
      <c r="Z33" s="118">
        <v>0</v>
      </c>
      <c r="AB33" s="25" t="s">
        <v>48</v>
      </c>
      <c r="AC33" s="118">
        <v>0</v>
      </c>
      <c r="AE33" s="25" t="s">
        <v>39</v>
      </c>
      <c r="AF33" s="107">
        <v>0</v>
      </c>
      <c r="AG33" s="105"/>
      <c r="AI33" s="105"/>
      <c r="AJ33" s="105"/>
      <c r="AL33" s="105"/>
      <c r="AM33" s="105"/>
      <c r="AO33" s="105"/>
      <c r="AP33" s="105"/>
      <c r="AR33" s="105"/>
      <c r="AS33" s="105"/>
      <c r="AU33" s="105"/>
      <c r="AV33" s="105"/>
      <c r="AX33" s="105"/>
      <c r="AY33" s="105"/>
      <c r="BA33" s="105"/>
    </row>
    <row r="34" spans="2:53" x14ac:dyDescent="0.25">
      <c r="B34" s="25" t="s">
        <v>268</v>
      </c>
      <c r="C34" s="107">
        <f>SUM($E34:Q34)</f>
        <v>0</v>
      </c>
      <c r="F34" s="126">
        <v>0</v>
      </c>
      <c r="G34" s="105">
        <v>0</v>
      </c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S34" s="25" t="s">
        <v>198</v>
      </c>
      <c r="T34" s="118">
        <v>0</v>
      </c>
      <c r="V34" s="25" t="s">
        <v>194</v>
      </c>
      <c r="W34" s="118">
        <v>0</v>
      </c>
      <c r="Y34" s="25" t="s">
        <v>238</v>
      </c>
      <c r="Z34" s="118">
        <v>0</v>
      </c>
      <c r="AB34" s="25" t="s">
        <v>39</v>
      </c>
      <c r="AC34" s="118">
        <v>0</v>
      </c>
      <c r="AE34" s="25" t="s">
        <v>194</v>
      </c>
      <c r="AF34" s="107">
        <v>0</v>
      </c>
      <c r="AG34" s="105"/>
      <c r="AI34" s="105"/>
      <c r="AJ34" s="105"/>
      <c r="AL34" s="105"/>
      <c r="AM34" s="105"/>
      <c r="AO34" s="105"/>
      <c r="AP34" s="105"/>
      <c r="AR34" s="105"/>
      <c r="AS34" s="105"/>
      <c r="AU34" s="105"/>
      <c r="AV34" s="105"/>
      <c r="AX34" s="105"/>
      <c r="AY34" s="105"/>
      <c r="BA34" s="105"/>
    </row>
    <row r="35" spans="2:53" x14ac:dyDescent="0.25">
      <c r="B35" s="25" t="s">
        <v>71</v>
      </c>
      <c r="C35" s="107">
        <f>SUM($E35:Q35)</f>
        <v>0</v>
      </c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5">
        <f>0</f>
        <v>0</v>
      </c>
      <c r="S35" s="25" t="s">
        <v>344</v>
      </c>
      <c r="T35" s="118">
        <v>0</v>
      </c>
      <c r="V35" s="25" t="s">
        <v>196</v>
      </c>
      <c r="W35" s="118">
        <v>0</v>
      </c>
      <c r="Y35" s="25" t="s">
        <v>56</v>
      </c>
      <c r="Z35" s="118">
        <v>0</v>
      </c>
      <c r="AB35" s="25" t="s">
        <v>194</v>
      </c>
      <c r="AC35" s="118">
        <v>0</v>
      </c>
      <c r="AE35" s="25" t="s">
        <v>198</v>
      </c>
      <c r="AF35" s="107">
        <v>0</v>
      </c>
      <c r="AG35" s="105"/>
      <c r="AI35" s="105"/>
      <c r="AJ35" s="105"/>
      <c r="AL35" s="105"/>
      <c r="AM35" s="105"/>
      <c r="AO35" s="105"/>
      <c r="AP35" s="105"/>
      <c r="AR35" s="105"/>
      <c r="AS35" s="105"/>
      <c r="AU35" s="105"/>
      <c r="AV35" s="105"/>
      <c r="AX35" s="105"/>
      <c r="AY35" s="105"/>
      <c r="BA35" s="105"/>
    </row>
    <row r="36" spans="2:53" x14ac:dyDescent="0.25">
      <c r="B36" s="25" t="s">
        <v>62</v>
      </c>
      <c r="C36" s="107">
        <f>SUM($E36:Q36)</f>
        <v>5.833333333333333</v>
      </c>
      <c r="F36" s="126">
        <v>0</v>
      </c>
      <c r="G36" s="105">
        <f>1</f>
        <v>1</v>
      </c>
      <c r="H36" s="105">
        <f>1</f>
        <v>1</v>
      </c>
      <c r="I36" s="105">
        <f>1</f>
        <v>1</v>
      </c>
      <c r="J36" s="105">
        <f>1</f>
        <v>1</v>
      </c>
      <c r="K36" s="105">
        <f>0</f>
        <v>0</v>
      </c>
      <c r="L36" s="105">
        <f>1/2+1/3</f>
        <v>0.83333333333333326</v>
      </c>
      <c r="M36" s="106"/>
      <c r="N36" s="106"/>
      <c r="O36" s="105">
        <f>0</f>
        <v>0</v>
      </c>
      <c r="P36" s="105">
        <f>1</f>
        <v>1</v>
      </c>
      <c r="Q36" s="105">
        <f>0</f>
        <v>0</v>
      </c>
      <c r="S36" s="25" t="s">
        <v>196</v>
      </c>
      <c r="T36" s="118">
        <f>1/7</f>
        <v>0.14285714285714285</v>
      </c>
      <c r="V36" s="25" t="s">
        <v>216</v>
      </c>
      <c r="W36" s="118">
        <v>0</v>
      </c>
      <c r="Y36" s="25" t="s">
        <v>48</v>
      </c>
      <c r="Z36" s="118">
        <v>0</v>
      </c>
      <c r="AB36" s="25" t="s">
        <v>198</v>
      </c>
      <c r="AC36" s="118">
        <v>0</v>
      </c>
      <c r="AE36" s="25" t="s">
        <v>196</v>
      </c>
      <c r="AF36" s="107">
        <v>0</v>
      </c>
      <c r="AG36" s="105"/>
      <c r="AI36" s="105"/>
      <c r="AJ36" s="105"/>
      <c r="AL36" s="105"/>
      <c r="AM36" s="105"/>
      <c r="AO36" s="105"/>
      <c r="AP36" s="105"/>
      <c r="AR36" s="105"/>
      <c r="AS36" s="105"/>
      <c r="AU36" s="105"/>
      <c r="AV36" s="105"/>
      <c r="AX36" s="105"/>
      <c r="AY36" s="105"/>
      <c r="BA36" s="105"/>
    </row>
    <row r="37" spans="2:53" x14ac:dyDescent="0.25">
      <c r="B37" s="25" t="s">
        <v>49</v>
      </c>
      <c r="C37" s="107">
        <f>SUM($E37:Q37)</f>
        <v>0</v>
      </c>
      <c r="F37" s="106"/>
      <c r="G37" s="106"/>
      <c r="H37" s="106"/>
      <c r="I37" s="106"/>
      <c r="J37" s="106"/>
      <c r="K37" s="105">
        <f>0</f>
        <v>0</v>
      </c>
      <c r="L37" s="106"/>
      <c r="M37" s="106"/>
      <c r="N37" s="106"/>
      <c r="O37" s="106"/>
      <c r="P37" s="106"/>
      <c r="Q37" s="106"/>
      <c r="S37" s="25" t="s">
        <v>216</v>
      </c>
      <c r="T37" s="118">
        <v>0</v>
      </c>
      <c r="V37" s="25" t="s">
        <v>214</v>
      </c>
      <c r="W37" s="118">
        <v>0</v>
      </c>
      <c r="Y37" s="25" t="s">
        <v>194</v>
      </c>
      <c r="Z37" s="118">
        <v>0</v>
      </c>
      <c r="AB37" s="25" t="s">
        <v>196</v>
      </c>
      <c r="AC37" s="118">
        <v>0</v>
      </c>
      <c r="AE37" s="25" t="s">
        <v>54</v>
      </c>
      <c r="AF37" s="107">
        <v>0</v>
      </c>
      <c r="AG37" s="105"/>
      <c r="AI37" s="105"/>
      <c r="AJ37" s="105"/>
      <c r="AL37" s="105"/>
      <c r="AM37" s="105"/>
      <c r="AO37" s="105"/>
      <c r="AP37" s="105"/>
      <c r="AR37" s="105"/>
      <c r="AS37" s="105"/>
      <c r="AU37" s="105"/>
      <c r="AV37" s="105"/>
      <c r="AX37" s="105"/>
      <c r="AY37" s="105"/>
      <c r="BA37" s="105"/>
    </row>
    <row r="38" spans="2:53" x14ac:dyDescent="0.25">
      <c r="B38" s="25" t="s">
        <v>42</v>
      </c>
      <c r="C38" s="107">
        <f>SUM($E38:Q38)</f>
        <v>8.4345238095238084</v>
      </c>
      <c r="F38" s="126">
        <v>0</v>
      </c>
      <c r="G38" s="105">
        <v>0</v>
      </c>
      <c r="H38" s="105">
        <f>1/2</f>
        <v>0.5</v>
      </c>
      <c r="I38" s="126">
        <f>1/3</f>
        <v>0.33333333333333331</v>
      </c>
      <c r="J38" s="105">
        <f>1/3+1</f>
        <v>1.3333333333333333</v>
      </c>
      <c r="K38" s="105">
        <f>1/2+1/2</f>
        <v>1</v>
      </c>
      <c r="L38" s="105">
        <f>1+1/2</f>
        <v>1.5</v>
      </c>
      <c r="M38" s="105">
        <f>1/2+1/8+1/2</f>
        <v>1.125</v>
      </c>
      <c r="N38" s="105">
        <f>1+1</f>
        <v>2</v>
      </c>
      <c r="O38" s="105">
        <f>1/2+1/7</f>
        <v>0.64285714285714279</v>
      </c>
      <c r="P38" s="106"/>
      <c r="Q38" s="106"/>
      <c r="S38" s="25" t="s">
        <v>214</v>
      </c>
      <c r="T38" s="118">
        <v>0</v>
      </c>
      <c r="V38" s="25" t="s">
        <v>213</v>
      </c>
      <c r="W38" s="118">
        <v>0</v>
      </c>
      <c r="Y38" s="25" t="s">
        <v>198</v>
      </c>
      <c r="Z38" s="118">
        <v>0</v>
      </c>
      <c r="AB38" s="25" t="s">
        <v>216</v>
      </c>
      <c r="AC38" s="118">
        <v>0</v>
      </c>
      <c r="AF38" s="105"/>
      <c r="AG38" s="105"/>
      <c r="AI38" s="105"/>
      <c r="AJ38" s="105"/>
      <c r="AL38" s="105"/>
      <c r="AM38" s="105"/>
      <c r="AO38" s="105"/>
      <c r="AP38" s="105"/>
      <c r="AR38" s="105"/>
      <c r="AS38" s="105"/>
      <c r="AU38" s="105"/>
      <c r="AV38" s="105"/>
      <c r="AX38" s="105"/>
      <c r="AY38" s="105"/>
      <c r="BA38" s="105"/>
    </row>
    <row r="39" spans="2:53" x14ac:dyDescent="0.25">
      <c r="B39" s="25" t="s">
        <v>40</v>
      </c>
      <c r="C39" s="107">
        <f>SUM($E39:Q39)</f>
        <v>17.041666666666664</v>
      </c>
      <c r="F39" s="126">
        <v>0</v>
      </c>
      <c r="G39" s="105">
        <f>1/6+1</f>
        <v>1.1666666666666667</v>
      </c>
      <c r="H39" s="105">
        <f>1</f>
        <v>1</v>
      </c>
      <c r="I39" s="105">
        <f>1+1</f>
        <v>2</v>
      </c>
      <c r="J39" s="105">
        <f>1/2</f>
        <v>0.5</v>
      </c>
      <c r="K39" s="105">
        <f>1/2</f>
        <v>0.5</v>
      </c>
      <c r="L39" s="105">
        <f>1/2+1/2+1/2+1/2+1/3</f>
        <v>2.3333333333333335</v>
      </c>
      <c r="M39" s="105">
        <f>1/4+1/8+1/2</f>
        <v>0.875</v>
      </c>
      <c r="N39" s="105">
        <f>1+1/2+1</f>
        <v>2.5</v>
      </c>
      <c r="O39" s="105">
        <f>0</f>
        <v>0</v>
      </c>
      <c r="P39" s="105">
        <f>1+1+1+1/2+1/6+1/2</f>
        <v>4.1666666666666661</v>
      </c>
      <c r="Q39" s="105">
        <f>1+1</f>
        <v>2</v>
      </c>
      <c r="S39" s="25" t="s">
        <v>333</v>
      </c>
      <c r="T39" s="118">
        <v>0</v>
      </c>
      <c r="V39" s="25" t="s">
        <v>270</v>
      </c>
      <c r="W39" s="118">
        <v>0</v>
      </c>
      <c r="Y39" s="25" t="s">
        <v>58</v>
      </c>
      <c r="Z39" s="118">
        <v>0</v>
      </c>
      <c r="AB39" s="25" t="s">
        <v>213</v>
      </c>
      <c r="AC39" s="118">
        <v>0</v>
      </c>
      <c r="AF39" s="105"/>
      <c r="AG39" s="105"/>
      <c r="AI39" s="105"/>
      <c r="AJ39" s="105"/>
      <c r="AL39" s="105"/>
      <c r="AM39" s="105"/>
      <c r="AO39" s="105"/>
      <c r="AP39" s="105"/>
      <c r="AR39" s="105"/>
      <c r="AS39" s="105"/>
      <c r="AU39" s="105"/>
      <c r="AV39" s="105"/>
      <c r="AX39" s="105"/>
      <c r="AY39" s="105"/>
      <c r="BA39" s="105"/>
    </row>
    <row r="40" spans="2:53" x14ac:dyDescent="0.25">
      <c r="B40" s="25" t="s">
        <v>192</v>
      </c>
      <c r="C40" s="107">
        <f>SUM($E40:Q40)</f>
        <v>0</v>
      </c>
      <c r="F40" s="106"/>
      <c r="G40" s="106"/>
      <c r="H40" s="106"/>
      <c r="I40" s="106"/>
      <c r="J40" s="105">
        <v>0</v>
      </c>
      <c r="K40" s="106"/>
      <c r="L40" s="106"/>
      <c r="M40" s="106"/>
      <c r="N40" s="106"/>
      <c r="O40" s="106"/>
      <c r="P40" s="106"/>
      <c r="Q40" s="106"/>
      <c r="S40" s="25" t="s">
        <v>213</v>
      </c>
      <c r="T40" s="118">
        <f>1</f>
        <v>1</v>
      </c>
      <c r="V40" s="25" t="s">
        <v>269</v>
      </c>
      <c r="W40" s="118">
        <v>0</v>
      </c>
      <c r="Y40" s="25" t="s">
        <v>237</v>
      </c>
      <c r="Z40" s="118">
        <v>0</v>
      </c>
      <c r="AF40" s="105"/>
      <c r="AG40" s="105"/>
      <c r="AI40" s="105"/>
      <c r="AJ40" s="105"/>
      <c r="AL40" s="105"/>
      <c r="AM40" s="105"/>
      <c r="AO40" s="105"/>
      <c r="AP40" s="105"/>
      <c r="AR40" s="105"/>
      <c r="AS40" s="105"/>
      <c r="AU40" s="105"/>
      <c r="AV40" s="105"/>
      <c r="AX40" s="105"/>
      <c r="AY40" s="105"/>
      <c r="BA40" s="105"/>
    </row>
    <row r="41" spans="2:53" x14ac:dyDescent="0.25">
      <c r="B41" s="25" t="s">
        <v>56</v>
      </c>
      <c r="C41" s="107">
        <f>SUM($E41:Q41)</f>
        <v>6.1666666666666661</v>
      </c>
      <c r="F41" s="105">
        <f>1</f>
        <v>1</v>
      </c>
      <c r="G41" s="105">
        <v>0</v>
      </c>
      <c r="H41" s="105">
        <v>0</v>
      </c>
      <c r="I41" s="105">
        <f>1/3</f>
        <v>0.33333333333333331</v>
      </c>
      <c r="J41" s="105">
        <v>0</v>
      </c>
      <c r="K41" s="105">
        <f>1/2</f>
        <v>0.5</v>
      </c>
      <c r="L41" s="105">
        <f>1/3</f>
        <v>0.33333333333333331</v>
      </c>
      <c r="M41" s="105">
        <f>0</f>
        <v>0</v>
      </c>
      <c r="N41" s="105">
        <f>1</f>
        <v>1</v>
      </c>
      <c r="O41" s="105">
        <f>1/2</f>
        <v>0.5</v>
      </c>
      <c r="P41" s="105">
        <f>1/3+1+1/6</f>
        <v>1.5</v>
      </c>
      <c r="Q41" s="105">
        <f>1</f>
        <v>1</v>
      </c>
      <c r="S41" s="25" t="s">
        <v>270</v>
      </c>
      <c r="T41" s="118">
        <v>0</v>
      </c>
      <c r="Y41" s="25" t="s">
        <v>54</v>
      </c>
      <c r="Z41" s="118">
        <v>0</v>
      </c>
      <c r="AF41" s="105"/>
      <c r="AG41" s="105"/>
      <c r="AI41" s="105"/>
      <c r="AJ41" s="105"/>
      <c r="AL41" s="105"/>
      <c r="AM41" s="105"/>
      <c r="AO41" s="105"/>
      <c r="AP41" s="105"/>
      <c r="AR41" s="105"/>
      <c r="AS41" s="105"/>
      <c r="AU41" s="105"/>
      <c r="AV41" s="105"/>
      <c r="AX41" s="105"/>
      <c r="AY41" s="105"/>
      <c r="BA41" s="105"/>
    </row>
    <row r="42" spans="2:53" x14ac:dyDescent="0.25">
      <c r="B42" s="25" t="s">
        <v>215</v>
      </c>
      <c r="C42" s="107">
        <f>SUM($E42:Q42)</f>
        <v>2.5</v>
      </c>
      <c r="F42" s="106"/>
      <c r="G42" s="106"/>
      <c r="H42" s="105">
        <f>1+1/2</f>
        <v>1.5</v>
      </c>
      <c r="I42" s="105">
        <f>1</f>
        <v>1</v>
      </c>
      <c r="J42" s="106"/>
      <c r="K42" s="106"/>
      <c r="L42" s="106"/>
      <c r="M42" s="106"/>
      <c r="N42" s="106"/>
      <c r="O42" s="106"/>
      <c r="P42" s="106"/>
      <c r="Q42" s="106"/>
      <c r="S42" s="25" t="s">
        <v>269</v>
      </c>
      <c r="T42" s="118">
        <f>1</f>
        <v>1</v>
      </c>
      <c r="AF42" s="105"/>
      <c r="AG42" s="105"/>
      <c r="AI42" s="105"/>
      <c r="AJ42" s="105"/>
      <c r="AL42" s="105"/>
      <c r="AM42" s="105"/>
      <c r="AO42" s="105"/>
      <c r="AP42" s="105"/>
      <c r="AR42" s="105"/>
      <c r="AS42" s="105"/>
      <c r="AU42" s="105"/>
      <c r="AV42" s="105"/>
      <c r="AX42" s="105"/>
      <c r="AY42" s="105"/>
      <c r="BA42" s="105"/>
    </row>
    <row r="43" spans="2:53" x14ac:dyDescent="0.25">
      <c r="B43" s="25" t="s">
        <v>77</v>
      </c>
      <c r="C43" s="107">
        <f>SUM($E43:Q43)</f>
        <v>0.33333333333333331</v>
      </c>
      <c r="F43" s="106"/>
      <c r="G43" s="106"/>
      <c r="H43" s="106"/>
      <c r="I43" s="106"/>
      <c r="J43" s="106"/>
      <c r="K43" s="106"/>
      <c r="L43" s="106"/>
      <c r="M43" s="106"/>
      <c r="N43" s="106"/>
      <c r="O43" s="105">
        <f>1/3</f>
        <v>0.33333333333333331</v>
      </c>
      <c r="P43" s="106"/>
      <c r="Q43" s="106"/>
      <c r="S43" s="25" t="s">
        <v>54</v>
      </c>
      <c r="T43" s="118">
        <v>0</v>
      </c>
      <c r="AF43" s="105"/>
      <c r="AG43" s="105"/>
      <c r="AI43" s="105"/>
      <c r="AJ43" s="105"/>
      <c r="AL43" s="105"/>
      <c r="AM43" s="105"/>
      <c r="AO43" s="105"/>
      <c r="AP43" s="105"/>
      <c r="AR43" s="105"/>
      <c r="AS43" s="105"/>
      <c r="AU43" s="105"/>
      <c r="AV43" s="105"/>
      <c r="AX43" s="105"/>
      <c r="AY43" s="105"/>
      <c r="BA43" s="105"/>
    </row>
    <row r="44" spans="2:53" x14ac:dyDescent="0.25">
      <c r="B44" s="25" t="s">
        <v>76</v>
      </c>
      <c r="C44" s="107">
        <f>SUM($E44:Q44)</f>
        <v>1.4761904761904761</v>
      </c>
      <c r="F44" s="106"/>
      <c r="G44" s="106"/>
      <c r="H44" s="106"/>
      <c r="I44" s="106"/>
      <c r="J44" s="106"/>
      <c r="K44" s="106"/>
      <c r="L44" s="106"/>
      <c r="M44" s="106"/>
      <c r="N44" s="105">
        <f>0</f>
        <v>0</v>
      </c>
      <c r="O44" s="105">
        <f>1/3+1/2+1/2+1/7</f>
        <v>1.4761904761904761</v>
      </c>
      <c r="P44" s="106"/>
      <c r="Q44" s="106"/>
      <c r="S44" s="25" t="s">
        <v>239</v>
      </c>
      <c r="T44" s="118">
        <f>1/7</f>
        <v>0.14285714285714285</v>
      </c>
      <c r="AF44" s="105"/>
      <c r="AG44" s="105"/>
      <c r="AI44" s="105"/>
      <c r="AJ44" s="105"/>
      <c r="AL44" s="105"/>
      <c r="AM44" s="105"/>
      <c r="AO44" s="105"/>
      <c r="AP44" s="105"/>
      <c r="AR44" s="105"/>
      <c r="AS44" s="105"/>
      <c r="AU44" s="105"/>
      <c r="AV44" s="105"/>
      <c r="AX44" s="105"/>
      <c r="AY44" s="105"/>
      <c r="BA44" s="105"/>
    </row>
    <row r="45" spans="2:53" x14ac:dyDescent="0.25">
      <c r="B45" s="25" t="s">
        <v>102</v>
      </c>
      <c r="C45" s="107">
        <f>SUM($E45:Q45)</f>
        <v>0</v>
      </c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5">
        <f>0</f>
        <v>0</v>
      </c>
      <c r="AF45" s="105"/>
      <c r="AG45" s="105"/>
      <c r="AI45" s="105"/>
      <c r="AJ45" s="105"/>
      <c r="AL45" s="105"/>
      <c r="AM45" s="105"/>
      <c r="AO45" s="105"/>
      <c r="AP45" s="105"/>
      <c r="AR45" s="105"/>
      <c r="AS45" s="105"/>
      <c r="AU45" s="105"/>
      <c r="AV45" s="105"/>
      <c r="AX45" s="105"/>
      <c r="AY45" s="105"/>
      <c r="BA45" s="105"/>
    </row>
    <row r="46" spans="2:53" x14ac:dyDescent="0.25">
      <c r="B46" s="25" t="s">
        <v>103</v>
      </c>
      <c r="C46" s="107">
        <f>SUM($E46:Q46)</f>
        <v>0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5">
        <f>0</f>
        <v>0</v>
      </c>
      <c r="AF46" s="105"/>
      <c r="AG46" s="105"/>
      <c r="AI46" s="105"/>
      <c r="AJ46" s="105"/>
      <c r="AL46" s="105"/>
      <c r="AM46" s="105"/>
      <c r="AO46" s="105"/>
      <c r="AP46" s="105"/>
      <c r="AR46" s="105"/>
      <c r="AS46" s="105"/>
      <c r="AU46" s="105"/>
      <c r="AV46" s="105"/>
      <c r="AX46" s="105"/>
      <c r="AY46" s="105"/>
      <c r="BA46" s="105"/>
    </row>
    <row r="47" spans="2:53" x14ac:dyDescent="0.25">
      <c r="B47" s="25" t="s">
        <v>253</v>
      </c>
      <c r="C47" s="107">
        <f>SUM($E47:Q47)</f>
        <v>1.5</v>
      </c>
      <c r="E47" s="105"/>
      <c r="F47" s="126">
        <v>0</v>
      </c>
      <c r="G47" s="105">
        <f>1/2</f>
        <v>0.5</v>
      </c>
      <c r="H47" s="105">
        <f>1/2+1/2</f>
        <v>1</v>
      </c>
      <c r="I47" s="106"/>
      <c r="J47" s="106"/>
      <c r="K47" s="106"/>
      <c r="L47" s="106"/>
      <c r="M47" s="106"/>
      <c r="N47" s="106"/>
      <c r="O47" s="106"/>
      <c r="P47" s="106"/>
      <c r="Q47" s="106"/>
      <c r="AF47" s="105"/>
      <c r="AG47" s="105"/>
      <c r="AI47" s="105"/>
      <c r="AJ47" s="105"/>
      <c r="AL47" s="105"/>
      <c r="AM47" s="105"/>
      <c r="AO47" s="105"/>
      <c r="AP47" s="105"/>
      <c r="AR47" s="105"/>
      <c r="AS47" s="105"/>
      <c r="AU47" s="105"/>
      <c r="AV47" s="105"/>
      <c r="AX47" s="105"/>
      <c r="AY47" s="105"/>
      <c r="BA47" s="105"/>
    </row>
    <row r="48" spans="2:53" x14ac:dyDescent="0.25">
      <c r="B48" s="25" t="s">
        <v>69</v>
      </c>
      <c r="C48" s="107">
        <f>SUM($E48:Q48)</f>
        <v>0</v>
      </c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5">
        <f>0</f>
        <v>0</v>
      </c>
      <c r="AF48" s="105"/>
      <c r="AG48" s="105"/>
      <c r="AI48" s="105"/>
      <c r="AJ48" s="105"/>
      <c r="AL48" s="105"/>
      <c r="AM48" s="105"/>
      <c r="AO48" s="105"/>
      <c r="AP48" s="105"/>
      <c r="AR48" s="105"/>
      <c r="AS48" s="105"/>
      <c r="AU48" s="105"/>
      <c r="AV48" s="105"/>
      <c r="AX48" s="105"/>
      <c r="AY48" s="105"/>
      <c r="BA48" s="105"/>
    </row>
    <row r="49" spans="2:53" x14ac:dyDescent="0.25">
      <c r="B49" s="25" t="s">
        <v>48</v>
      </c>
      <c r="C49" s="107">
        <f>SUM($E49:Q49)</f>
        <v>3.5749999999999997</v>
      </c>
      <c r="F49" s="126">
        <v>0</v>
      </c>
      <c r="G49" s="105">
        <f>1/5</f>
        <v>0.2</v>
      </c>
      <c r="H49" s="105">
        <v>0</v>
      </c>
      <c r="I49" s="105">
        <v>0</v>
      </c>
      <c r="J49" s="105">
        <v>0</v>
      </c>
      <c r="K49" s="105">
        <f>0</f>
        <v>0</v>
      </c>
      <c r="L49" s="105">
        <f>1/3</f>
        <v>0.33333333333333331</v>
      </c>
      <c r="M49" s="105">
        <f>1/8</f>
        <v>0.125</v>
      </c>
      <c r="N49" s="105">
        <f>0</f>
        <v>0</v>
      </c>
      <c r="O49" s="105">
        <f>1</f>
        <v>1</v>
      </c>
      <c r="P49" s="105">
        <f>1/4+1/2+1/6</f>
        <v>0.91666666666666663</v>
      </c>
      <c r="Q49" s="105">
        <f>1</f>
        <v>1</v>
      </c>
      <c r="AF49" s="105"/>
      <c r="AG49" s="105"/>
      <c r="AI49" s="105"/>
      <c r="AJ49" s="105"/>
      <c r="AL49" s="105"/>
      <c r="AM49" s="105"/>
      <c r="AO49" s="105"/>
      <c r="AP49" s="105"/>
      <c r="AR49" s="105"/>
      <c r="AS49" s="105"/>
      <c r="AU49" s="105"/>
      <c r="AV49" s="105"/>
      <c r="AX49" s="105"/>
      <c r="AY49" s="105"/>
      <c r="BA49" s="105"/>
    </row>
    <row r="50" spans="2:53" x14ac:dyDescent="0.25">
      <c r="B50" s="25" t="s">
        <v>105</v>
      </c>
      <c r="C50" s="107">
        <f>SUM($E50:Q50)</f>
        <v>0.5</v>
      </c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5">
        <f>1/2</f>
        <v>0.5</v>
      </c>
      <c r="AF50" s="105"/>
      <c r="AG50" s="105"/>
      <c r="AI50" s="105"/>
      <c r="AJ50" s="105"/>
      <c r="AL50" s="105"/>
      <c r="AM50" s="105"/>
      <c r="AO50" s="105"/>
      <c r="AP50" s="105"/>
      <c r="AR50" s="105"/>
      <c r="AS50" s="105"/>
      <c r="AU50" s="105"/>
      <c r="AV50" s="105"/>
      <c r="AX50" s="105"/>
      <c r="AY50" s="105"/>
      <c r="BA50" s="105"/>
    </row>
    <row r="51" spans="2:53" x14ac:dyDescent="0.25">
      <c r="B51" s="25" t="s">
        <v>193</v>
      </c>
      <c r="C51" s="107">
        <f>SUM($E51:Q51)</f>
        <v>0</v>
      </c>
      <c r="F51" s="106"/>
      <c r="G51" s="106"/>
      <c r="H51" s="106"/>
      <c r="I51" s="106"/>
      <c r="J51" s="105">
        <v>0</v>
      </c>
      <c r="K51" s="106"/>
      <c r="L51" s="106"/>
      <c r="M51" s="106"/>
      <c r="N51" s="106"/>
      <c r="O51" s="106"/>
      <c r="P51" s="106"/>
      <c r="Q51" s="106"/>
      <c r="AF51" s="105"/>
      <c r="AG51" s="105"/>
      <c r="AI51" s="105"/>
      <c r="AJ51" s="105"/>
      <c r="AL51" s="105"/>
      <c r="AM51" s="105"/>
      <c r="AO51" s="105"/>
      <c r="AP51" s="105"/>
      <c r="AR51" s="105"/>
      <c r="AS51" s="105"/>
      <c r="AU51" s="105"/>
      <c r="AV51" s="105"/>
      <c r="AX51" s="105"/>
      <c r="AY51" s="105"/>
      <c r="BA51" s="105"/>
    </row>
    <row r="52" spans="2:53" x14ac:dyDescent="0.25">
      <c r="B52" s="25" t="s">
        <v>46</v>
      </c>
      <c r="C52" s="107">
        <f>SUM($E52:Q52)</f>
        <v>6.6166666666666663</v>
      </c>
      <c r="E52" s="105"/>
      <c r="F52" s="126">
        <v>0</v>
      </c>
      <c r="G52" s="105">
        <f>1/5+1/4</f>
        <v>0.45</v>
      </c>
      <c r="H52" s="105">
        <f>1</f>
        <v>1</v>
      </c>
      <c r="I52" s="105">
        <f>1/3</f>
        <v>0.33333333333333331</v>
      </c>
      <c r="J52" s="105">
        <f>1/3+1</f>
        <v>1.3333333333333333</v>
      </c>
      <c r="K52" s="105">
        <f>0</f>
        <v>0</v>
      </c>
      <c r="L52" s="105">
        <f>0</f>
        <v>0</v>
      </c>
      <c r="M52" s="105">
        <f>1/4+1/4+1/2</f>
        <v>1</v>
      </c>
      <c r="N52" s="105">
        <f>0</f>
        <v>0</v>
      </c>
      <c r="O52" s="105">
        <f>1/2+1+1</f>
        <v>2.5</v>
      </c>
      <c r="P52" s="106"/>
      <c r="Q52" s="106"/>
      <c r="AF52" s="105"/>
      <c r="AG52" s="105"/>
      <c r="AI52" s="105"/>
      <c r="AJ52" s="105"/>
      <c r="AL52" s="105"/>
      <c r="AM52" s="105"/>
      <c r="AO52" s="105"/>
      <c r="AP52" s="105"/>
      <c r="AR52" s="105"/>
      <c r="AS52" s="105"/>
      <c r="AU52" s="105"/>
      <c r="AV52" s="105"/>
      <c r="AX52" s="105"/>
      <c r="AY52" s="105"/>
      <c r="BA52" s="105"/>
    </row>
    <row r="53" spans="2:53" x14ac:dyDescent="0.25">
      <c r="B53" s="25" t="s">
        <v>45</v>
      </c>
      <c r="C53" s="107">
        <f>SUM($E53:Q53)</f>
        <v>10.658333333333333</v>
      </c>
      <c r="E53" s="105"/>
      <c r="F53" s="106"/>
      <c r="G53" s="105">
        <f>1</f>
        <v>1</v>
      </c>
      <c r="H53" s="105">
        <f>1+1</f>
        <v>2</v>
      </c>
      <c r="I53" s="105">
        <f>1</f>
        <v>1</v>
      </c>
      <c r="J53" s="105">
        <v>0</v>
      </c>
      <c r="K53" s="105">
        <f>0</f>
        <v>0</v>
      </c>
      <c r="L53" s="105">
        <f>1+1</f>
        <v>2</v>
      </c>
      <c r="M53" s="105">
        <f>1+1+1/8</f>
        <v>2.125</v>
      </c>
      <c r="N53" s="105">
        <f>0</f>
        <v>0</v>
      </c>
      <c r="O53" s="105">
        <f>1/3</f>
        <v>0.33333333333333331</v>
      </c>
      <c r="P53" s="105">
        <f>1/5</f>
        <v>0.2</v>
      </c>
      <c r="Q53" s="105">
        <f>1+1</f>
        <v>2</v>
      </c>
      <c r="AF53" s="105"/>
      <c r="AG53" s="105"/>
      <c r="AI53" s="105"/>
      <c r="AJ53" s="105"/>
      <c r="AL53" s="105"/>
      <c r="AM53" s="105"/>
      <c r="AO53" s="105"/>
      <c r="AP53" s="105"/>
      <c r="AR53" s="105"/>
      <c r="AS53" s="105"/>
      <c r="AU53" s="105"/>
      <c r="AV53" s="105"/>
      <c r="AX53" s="105"/>
      <c r="AY53" s="105"/>
      <c r="BA53" s="105"/>
    </row>
    <row r="54" spans="2:53" x14ac:dyDescent="0.25">
      <c r="B54" s="25" t="s">
        <v>39</v>
      </c>
      <c r="C54" s="107">
        <f>SUM($E54:Q54)</f>
        <v>7.0428571428571436</v>
      </c>
      <c r="F54" s="126">
        <f>1/2</f>
        <v>0.5</v>
      </c>
      <c r="G54" s="105">
        <v>0</v>
      </c>
      <c r="H54" s="105">
        <f>1/5+1/4</f>
        <v>0.45</v>
      </c>
      <c r="I54" s="105">
        <v>0</v>
      </c>
      <c r="J54" s="105">
        <v>0</v>
      </c>
      <c r="K54" s="105">
        <f>1+1/2</f>
        <v>1.5</v>
      </c>
      <c r="L54" s="105">
        <f>1+1/2</f>
        <v>1.5</v>
      </c>
      <c r="M54" s="105">
        <f>1/4</f>
        <v>0.25</v>
      </c>
      <c r="N54" s="105">
        <f>1+1/2+1</f>
        <v>2.5</v>
      </c>
      <c r="O54" s="105">
        <f>1/7</f>
        <v>0.14285714285714285</v>
      </c>
      <c r="P54" s="105">
        <f>1/5</f>
        <v>0.2</v>
      </c>
      <c r="Q54" s="105">
        <f>0</f>
        <v>0</v>
      </c>
      <c r="AF54" s="105"/>
      <c r="AG54" s="105"/>
      <c r="AI54" s="105"/>
      <c r="AJ54" s="105"/>
      <c r="AL54" s="105"/>
      <c r="AM54" s="105"/>
      <c r="AO54" s="105"/>
      <c r="AP54" s="105"/>
      <c r="AR54" s="105"/>
      <c r="AS54" s="105"/>
      <c r="AU54" s="105"/>
      <c r="AV54" s="105"/>
      <c r="AX54" s="105"/>
      <c r="AY54" s="105"/>
      <c r="BA54" s="105"/>
    </row>
    <row r="55" spans="2:53" x14ac:dyDescent="0.25">
      <c r="B55" s="25" t="s">
        <v>376</v>
      </c>
      <c r="C55" s="107">
        <f>SUM($E55:Q55)</f>
        <v>0</v>
      </c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5">
        <f>0</f>
        <v>0</v>
      </c>
      <c r="AF55" s="105"/>
      <c r="AG55" s="105"/>
      <c r="AI55" s="105"/>
      <c r="AJ55" s="105"/>
      <c r="AL55" s="105"/>
      <c r="AM55" s="105"/>
      <c r="AO55" s="105"/>
      <c r="AP55" s="105"/>
      <c r="AR55" s="105"/>
      <c r="AS55" s="105"/>
      <c r="AU55" s="105"/>
      <c r="AV55" s="105"/>
      <c r="AX55" s="105"/>
      <c r="AY55" s="105"/>
      <c r="BA55" s="105"/>
    </row>
    <row r="56" spans="2:53" x14ac:dyDescent="0.25">
      <c r="B56" s="25" t="s">
        <v>224</v>
      </c>
      <c r="C56" s="107">
        <f>SUM($E56:Q56)</f>
        <v>2</v>
      </c>
      <c r="F56" s="126">
        <v>0</v>
      </c>
      <c r="G56" s="105">
        <v>0</v>
      </c>
      <c r="H56" s="105">
        <f>1</f>
        <v>1</v>
      </c>
      <c r="I56" s="105">
        <f>1</f>
        <v>1</v>
      </c>
      <c r="J56" s="106"/>
      <c r="K56" s="106"/>
      <c r="L56" s="106"/>
      <c r="M56" s="106"/>
      <c r="N56" s="106"/>
      <c r="O56" s="106"/>
      <c r="P56" s="106"/>
      <c r="Q56" s="106"/>
      <c r="AF56" s="105"/>
      <c r="AG56" s="105"/>
      <c r="AI56" s="105"/>
      <c r="AJ56" s="105"/>
      <c r="AL56" s="105"/>
      <c r="AM56" s="105"/>
      <c r="AO56" s="105"/>
      <c r="AP56" s="105"/>
      <c r="AR56" s="105"/>
      <c r="AS56" s="105"/>
      <c r="AU56" s="105"/>
      <c r="AV56" s="105"/>
      <c r="AX56" s="105"/>
      <c r="AY56" s="105"/>
      <c r="BA56" s="105"/>
    </row>
    <row r="57" spans="2:53" x14ac:dyDescent="0.25">
      <c r="B57" s="25" t="s">
        <v>240</v>
      </c>
      <c r="C57" s="107">
        <f>SUM($E57:Q57)</f>
        <v>2.1666666666666665</v>
      </c>
      <c r="E57" s="105"/>
      <c r="F57" s="126">
        <f>1/2</f>
        <v>0.5</v>
      </c>
      <c r="G57" s="105">
        <f>1/2+1/6+1</f>
        <v>1.6666666666666665</v>
      </c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AF57" s="105"/>
      <c r="AG57" s="105"/>
      <c r="AI57" s="105"/>
      <c r="AJ57" s="105"/>
      <c r="AL57" s="105"/>
      <c r="AM57" s="105"/>
      <c r="AO57" s="105"/>
      <c r="AP57" s="105"/>
      <c r="AR57" s="105"/>
      <c r="AS57" s="105"/>
      <c r="AU57" s="105"/>
      <c r="AV57" s="105"/>
      <c r="AX57" s="105"/>
      <c r="AY57" s="105"/>
      <c r="BA57" s="105"/>
    </row>
    <row r="58" spans="2:53" x14ac:dyDescent="0.25">
      <c r="B58" s="25" t="s">
        <v>194</v>
      </c>
      <c r="C58" s="107">
        <f>SUM($E58:Q58)</f>
        <v>0.14285714285714285</v>
      </c>
      <c r="F58" s="126">
        <f>1/7</f>
        <v>0.14285714285714285</v>
      </c>
      <c r="G58" s="105">
        <v>0</v>
      </c>
      <c r="H58" s="105">
        <v>0</v>
      </c>
      <c r="I58" s="105">
        <v>0</v>
      </c>
      <c r="J58" s="105">
        <v>0</v>
      </c>
      <c r="K58" s="106"/>
      <c r="L58" s="106"/>
      <c r="M58" s="106"/>
      <c r="N58" s="106"/>
      <c r="O58" s="106"/>
      <c r="P58" s="106"/>
      <c r="Q58" s="106"/>
      <c r="AF58" s="105"/>
      <c r="AG58" s="105"/>
      <c r="AI58" s="105"/>
      <c r="AJ58" s="105"/>
      <c r="AL58" s="105"/>
      <c r="AM58" s="105"/>
      <c r="AO58" s="105"/>
      <c r="AP58" s="105"/>
      <c r="AR58" s="105"/>
      <c r="AS58" s="105"/>
      <c r="AU58" s="105"/>
      <c r="AV58" s="105"/>
      <c r="AX58" s="105"/>
      <c r="AY58" s="105"/>
      <c r="BA58" s="105"/>
    </row>
    <row r="59" spans="2:53" x14ac:dyDescent="0.25">
      <c r="B59" s="25" t="s">
        <v>104</v>
      </c>
      <c r="C59" s="107">
        <f>SUM($E59:Q59)</f>
        <v>0</v>
      </c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5">
        <f>0</f>
        <v>0</v>
      </c>
      <c r="AF59" s="105"/>
      <c r="AG59" s="105"/>
      <c r="AI59" s="105"/>
      <c r="AJ59" s="105"/>
      <c r="AL59" s="105"/>
      <c r="AM59" s="105"/>
      <c r="AO59" s="105"/>
      <c r="AP59" s="105"/>
      <c r="AR59" s="105"/>
      <c r="AS59" s="105"/>
      <c r="AU59" s="105"/>
      <c r="AV59" s="105"/>
      <c r="AX59" s="105"/>
      <c r="AY59" s="105"/>
      <c r="BA59" s="105"/>
    </row>
    <row r="60" spans="2:53" x14ac:dyDescent="0.25">
      <c r="B60" s="25" t="s">
        <v>198</v>
      </c>
      <c r="C60" s="107">
        <f>SUM($E60:Q60)</f>
        <v>0</v>
      </c>
      <c r="F60" s="126">
        <v>0</v>
      </c>
      <c r="G60" s="106"/>
      <c r="H60" s="105">
        <v>0</v>
      </c>
      <c r="I60" s="105">
        <v>0</v>
      </c>
      <c r="J60" s="105">
        <v>0</v>
      </c>
      <c r="K60" s="106"/>
      <c r="L60" s="106"/>
      <c r="M60" s="106"/>
      <c r="N60" s="106"/>
      <c r="O60" s="106"/>
      <c r="P60" s="106"/>
      <c r="Q60" s="106"/>
    </row>
    <row r="61" spans="2:53" x14ac:dyDescent="0.25">
      <c r="B61" s="25" t="s">
        <v>344</v>
      </c>
      <c r="C61" s="107">
        <f>SUM($E61:Q61)</f>
        <v>0</v>
      </c>
      <c r="F61" s="126">
        <v>0</v>
      </c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</row>
    <row r="62" spans="2:53" x14ac:dyDescent="0.25">
      <c r="B62" s="25" t="s">
        <v>196</v>
      </c>
      <c r="C62" s="107">
        <f>SUM($E62:Q62)</f>
        <v>0.84285714285714275</v>
      </c>
      <c r="F62" s="126">
        <f>1/7</f>
        <v>0.14285714285714285</v>
      </c>
      <c r="G62" s="105">
        <v>0</v>
      </c>
      <c r="H62" s="105">
        <f>1/5+1/2</f>
        <v>0.7</v>
      </c>
      <c r="I62" s="105">
        <v>0</v>
      </c>
      <c r="J62" s="105">
        <v>0</v>
      </c>
      <c r="K62" s="106"/>
      <c r="L62" s="106"/>
      <c r="M62" s="106"/>
      <c r="N62" s="106"/>
      <c r="O62" s="106"/>
      <c r="P62" s="106"/>
      <c r="Q62" s="106"/>
    </row>
    <row r="63" spans="2:53" x14ac:dyDescent="0.25">
      <c r="B63" s="25" t="s">
        <v>216</v>
      </c>
      <c r="C63" s="107">
        <f>SUM($E63:Q63)</f>
        <v>0.25</v>
      </c>
      <c r="F63" s="126">
        <v>0</v>
      </c>
      <c r="G63" s="105">
        <v>0</v>
      </c>
      <c r="H63" s="105">
        <f>1/4</f>
        <v>0.25</v>
      </c>
      <c r="I63" s="105">
        <v>0</v>
      </c>
      <c r="J63" s="106"/>
      <c r="K63" s="106"/>
      <c r="L63" s="106"/>
      <c r="M63" s="106"/>
      <c r="N63" s="106"/>
      <c r="O63" s="106"/>
      <c r="P63" s="106"/>
      <c r="Q63" s="106"/>
    </row>
    <row r="64" spans="2:53" x14ac:dyDescent="0.25">
      <c r="B64" s="25" t="s">
        <v>214</v>
      </c>
      <c r="C64" s="107">
        <f>SUM($E64:Q64)</f>
        <v>0.83333333333333326</v>
      </c>
      <c r="F64" s="191"/>
      <c r="G64" s="105">
        <v>0</v>
      </c>
      <c r="H64" s="105">
        <f>1/3+1/4</f>
        <v>0.58333333333333326</v>
      </c>
      <c r="I64" s="105">
        <f>1/4</f>
        <v>0.25</v>
      </c>
      <c r="J64" s="106"/>
      <c r="K64" s="106"/>
      <c r="L64" s="106"/>
      <c r="M64" s="106"/>
      <c r="N64" s="106"/>
      <c r="O64" s="106"/>
      <c r="P64" s="106"/>
      <c r="Q64" s="106"/>
    </row>
    <row r="65" spans="2:17" x14ac:dyDescent="0.25">
      <c r="B65" s="25" t="s">
        <v>333</v>
      </c>
      <c r="C65" s="107">
        <f>SUM($E65:Q65)</f>
        <v>0</v>
      </c>
      <c r="F65" s="126">
        <v>0</v>
      </c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</row>
    <row r="66" spans="2:17" x14ac:dyDescent="0.25">
      <c r="B66" s="25" t="s">
        <v>58</v>
      </c>
      <c r="C66" s="107">
        <f>SUM($E66:Q66)</f>
        <v>0</v>
      </c>
      <c r="F66" s="106"/>
      <c r="G66" s="106"/>
      <c r="H66" s="105">
        <v>0</v>
      </c>
      <c r="I66" s="106"/>
      <c r="J66" s="106"/>
      <c r="K66" s="105">
        <f>0</f>
        <v>0</v>
      </c>
      <c r="L66" s="106"/>
      <c r="M66" s="106"/>
      <c r="N66" s="106"/>
      <c r="O66" s="106"/>
      <c r="P66" s="106"/>
      <c r="Q66" s="106"/>
    </row>
    <row r="67" spans="2:17" x14ac:dyDescent="0.25">
      <c r="B67" s="25" t="s">
        <v>237</v>
      </c>
      <c r="C67" s="107">
        <f>SUM($E67:Q67)</f>
        <v>0</v>
      </c>
      <c r="F67" s="106"/>
      <c r="G67" s="106"/>
      <c r="H67" s="105">
        <v>0</v>
      </c>
      <c r="I67" s="106"/>
      <c r="J67" s="106"/>
      <c r="K67" s="106"/>
      <c r="L67" s="106"/>
      <c r="M67" s="106"/>
      <c r="N67" s="106"/>
      <c r="O67" s="106"/>
      <c r="P67" s="106"/>
      <c r="Q67" s="106"/>
    </row>
    <row r="68" spans="2:17" x14ac:dyDescent="0.25">
      <c r="B68" s="25" t="s">
        <v>82</v>
      </c>
      <c r="C68" s="107">
        <f>SUM($E68:Q68)</f>
        <v>1.3333333333333333</v>
      </c>
      <c r="F68" s="106"/>
      <c r="G68" s="106"/>
      <c r="H68" s="106"/>
      <c r="I68" s="106"/>
      <c r="J68" s="106"/>
      <c r="K68" s="106"/>
      <c r="L68" s="106"/>
      <c r="M68" s="105">
        <f>1</f>
        <v>1</v>
      </c>
      <c r="N68" s="105">
        <f>1/3</f>
        <v>0.33333333333333331</v>
      </c>
      <c r="O68" s="106"/>
      <c r="P68" s="106"/>
      <c r="Q68" s="106"/>
    </row>
    <row r="69" spans="2:17" x14ac:dyDescent="0.25">
      <c r="B69" s="25" t="s">
        <v>213</v>
      </c>
      <c r="C69" s="107">
        <f>SUM($E69:Q69)</f>
        <v>1</v>
      </c>
      <c r="F69" s="105">
        <f>1</f>
        <v>1</v>
      </c>
      <c r="G69" s="105">
        <v>0</v>
      </c>
      <c r="H69" s="106"/>
      <c r="I69" s="105">
        <v>0</v>
      </c>
      <c r="J69" s="106"/>
      <c r="K69" s="106"/>
      <c r="L69" s="106"/>
      <c r="M69" s="106"/>
      <c r="N69" s="106"/>
      <c r="O69" s="106"/>
      <c r="P69" s="106"/>
      <c r="Q69" s="106"/>
    </row>
    <row r="70" spans="2:17" x14ac:dyDescent="0.25">
      <c r="B70" s="25" t="s">
        <v>270</v>
      </c>
      <c r="C70" s="107">
        <f>SUM($E70:Q70)</f>
        <v>0</v>
      </c>
      <c r="F70" s="126">
        <v>0</v>
      </c>
      <c r="G70" s="105">
        <v>0</v>
      </c>
      <c r="H70" s="106"/>
      <c r="I70" s="106"/>
      <c r="J70" s="106"/>
      <c r="K70" s="106"/>
      <c r="L70" s="106"/>
      <c r="M70" s="106"/>
      <c r="N70" s="106"/>
      <c r="O70" s="106"/>
      <c r="P70" s="106"/>
      <c r="Q70" s="106"/>
    </row>
    <row r="71" spans="2:17" x14ac:dyDescent="0.25">
      <c r="B71" s="25" t="s">
        <v>269</v>
      </c>
      <c r="C71" s="107">
        <f>SUM($E71:Q71)</f>
        <v>1</v>
      </c>
      <c r="F71" s="126">
        <f>1</f>
        <v>1</v>
      </c>
      <c r="G71" s="105">
        <v>0</v>
      </c>
      <c r="H71" s="106"/>
      <c r="I71" s="106"/>
      <c r="J71" s="106"/>
      <c r="K71" s="106"/>
      <c r="L71" s="106"/>
      <c r="M71" s="106"/>
      <c r="N71" s="106"/>
      <c r="O71" s="106"/>
      <c r="P71" s="106"/>
      <c r="Q71" s="106"/>
    </row>
    <row r="72" spans="2:17" x14ac:dyDescent="0.25">
      <c r="B72" s="25" t="s">
        <v>54</v>
      </c>
      <c r="C72" s="107">
        <f>SUM($E72:Q72)</f>
        <v>2.8428571428571425</v>
      </c>
      <c r="F72" s="126">
        <v>0</v>
      </c>
      <c r="G72" s="105">
        <f>1/5+1/6</f>
        <v>0.3666666666666667</v>
      </c>
      <c r="H72" s="105">
        <v>0</v>
      </c>
      <c r="I72" s="105">
        <f>1/3</f>
        <v>0.33333333333333331</v>
      </c>
      <c r="J72" s="105">
        <v>0</v>
      </c>
      <c r="K72" s="105">
        <f>0</f>
        <v>0</v>
      </c>
      <c r="L72" s="105">
        <f>0</f>
        <v>0</v>
      </c>
      <c r="M72" s="105">
        <f>1</f>
        <v>1</v>
      </c>
      <c r="N72" s="106"/>
      <c r="O72" s="105">
        <f>1+1/7</f>
        <v>1.1428571428571428</v>
      </c>
      <c r="P72" s="106"/>
      <c r="Q72" s="106"/>
    </row>
    <row r="73" spans="2:17" x14ac:dyDescent="0.25">
      <c r="B73" s="25" t="s">
        <v>239</v>
      </c>
      <c r="C73" s="107">
        <f>SUM($E73:Q73)</f>
        <v>1.7928571428571427</v>
      </c>
      <c r="F73" s="126">
        <f>1/7</f>
        <v>0.14285714285714285</v>
      </c>
      <c r="G73" s="105">
        <f>1/5+1/4+1</f>
        <v>1.45</v>
      </c>
      <c r="H73" s="105">
        <f>1/5</f>
        <v>0.2</v>
      </c>
      <c r="I73" s="106"/>
      <c r="J73" s="106"/>
      <c r="K73" s="106"/>
      <c r="L73" s="106"/>
      <c r="M73" s="106"/>
      <c r="N73" s="106"/>
      <c r="O73" s="106"/>
      <c r="P73" s="106"/>
      <c r="Q73" s="106"/>
    </row>
    <row r="74" spans="2:17" x14ac:dyDescent="0.25">
      <c r="B74" s="25" t="s">
        <v>37</v>
      </c>
      <c r="C74" s="107">
        <f>SUM($E74:Q74)</f>
        <v>2.5</v>
      </c>
      <c r="F74" s="106"/>
      <c r="G74" s="106"/>
      <c r="H74" s="106"/>
      <c r="I74" s="106"/>
      <c r="J74" s="105">
        <f>1</f>
        <v>1</v>
      </c>
      <c r="K74" s="105">
        <f>1+1/2</f>
        <v>1.5</v>
      </c>
      <c r="L74" s="106"/>
      <c r="M74" s="106"/>
      <c r="N74" s="106"/>
      <c r="O74" s="106"/>
      <c r="P74" s="106"/>
      <c r="Q74" s="106"/>
    </row>
    <row r="75" spans="2:17" x14ac:dyDescent="0.25">
      <c r="B75" s="25" t="s">
        <v>190</v>
      </c>
      <c r="C75" s="107">
        <f>SUM($E75:Q75)</f>
        <v>0.58333333333333326</v>
      </c>
      <c r="F75" s="106"/>
      <c r="G75" s="106"/>
      <c r="H75" s="106"/>
      <c r="I75" s="106"/>
      <c r="J75" s="105">
        <f>1/3+1/4</f>
        <v>0.58333333333333326</v>
      </c>
      <c r="K75" s="106"/>
      <c r="L75" s="106"/>
      <c r="M75" s="106"/>
      <c r="N75" s="106"/>
      <c r="O75" s="106"/>
      <c r="P75" s="106"/>
      <c r="Q75" s="106"/>
    </row>
  </sheetData>
  <sortState xmlns:xlrd2="http://schemas.microsoft.com/office/spreadsheetml/2017/richdata2" ref="S4:T44">
    <sortCondition ref="S4:S44"/>
  </sortState>
  <pageMargins left="0.7" right="0.7" top="0.75" bottom="0.75" header="0.3" footer="0.3"/>
  <pageSetup orientation="portrait" r:id="rId1"/>
  <ignoredErrors>
    <ignoredError sqref="AO1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9"/>
  <sheetViews>
    <sheetView workbookViewId="0">
      <selection activeCell="Q1" sqref="Q1"/>
    </sheetView>
  </sheetViews>
  <sheetFormatPr defaultColWidth="8.85546875" defaultRowHeight="15" x14ac:dyDescent="0.25"/>
  <cols>
    <col min="1" max="1" width="2.7109375" style="35" customWidth="1"/>
    <col min="2" max="2" width="3.7109375" style="28" bestFit="1" customWidth="1"/>
    <col min="3" max="3" width="22.42578125" bestFit="1" customWidth="1"/>
    <col min="4" max="4" width="6" bestFit="1" customWidth="1"/>
    <col min="5" max="5" width="4" bestFit="1" customWidth="1"/>
    <col min="6" max="6" width="8.140625" style="37" bestFit="1" customWidth="1"/>
    <col min="7" max="7" width="5" style="9" bestFit="1" customWidth="1"/>
    <col min="8" max="8" width="4.7109375" style="9" bestFit="1" customWidth="1"/>
    <col min="9" max="9" width="12.42578125" style="9" bestFit="1" customWidth="1"/>
    <col min="10" max="10" width="2.7109375" customWidth="1"/>
    <col min="11" max="11" width="5.42578125" bestFit="1" customWidth="1"/>
    <col min="12" max="12" width="19.7109375" bestFit="1" customWidth="1"/>
    <col min="13" max="13" width="4.7109375" bestFit="1" customWidth="1"/>
    <col min="14" max="14" width="16.28515625" bestFit="1" customWidth="1"/>
    <col min="15" max="15" width="12.42578125" bestFit="1" customWidth="1"/>
  </cols>
  <sheetData>
    <row r="1" spans="1:15" s="35" customFormat="1" ht="15.75" thickBot="1" x14ac:dyDescent="0.3">
      <c r="B1" s="26"/>
      <c r="C1" s="186" t="s">
        <v>292</v>
      </c>
      <c r="F1" s="36"/>
      <c r="G1" s="3"/>
      <c r="H1" s="3"/>
      <c r="I1" s="186" t="s">
        <v>292</v>
      </c>
    </row>
    <row r="2" spans="1:15" s="10" customFormat="1" ht="15.75" thickBot="1" x14ac:dyDescent="0.3">
      <c r="A2" s="64"/>
      <c r="B2" s="82"/>
      <c r="C2" s="10" t="s">
        <v>164</v>
      </c>
      <c r="F2" s="83" t="s">
        <v>3</v>
      </c>
      <c r="G2" s="10" t="s">
        <v>163</v>
      </c>
      <c r="H2" s="10" t="s">
        <v>159</v>
      </c>
      <c r="I2" s="10" t="s">
        <v>160</v>
      </c>
      <c r="J2" s="64"/>
      <c r="K2" s="70"/>
      <c r="L2" s="67" t="s">
        <v>0</v>
      </c>
      <c r="M2" s="67" t="s">
        <v>159</v>
      </c>
      <c r="N2" s="68" t="s">
        <v>158</v>
      </c>
      <c r="O2" s="10" t="s">
        <v>160</v>
      </c>
    </row>
    <row r="3" spans="1:15" x14ac:dyDescent="0.25">
      <c r="B3" s="28" t="s">
        <v>165</v>
      </c>
      <c r="C3" s="52" t="s">
        <v>43</v>
      </c>
      <c r="D3" s="53">
        <v>154.5</v>
      </c>
      <c r="E3" s="53">
        <v>300</v>
      </c>
      <c r="F3" s="54">
        <v>0.51500000000000001</v>
      </c>
      <c r="G3" s="53">
        <v>2019</v>
      </c>
      <c r="H3" s="53">
        <v>3</v>
      </c>
      <c r="I3" s="55" t="s">
        <v>161</v>
      </c>
      <c r="J3" s="35"/>
      <c r="K3" s="40" t="s">
        <v>172</v>
      </c>
      <c r="L3" s="38" t="s">
        <v>43</v>
      </c>
      <c r="M3" s="65">
        <v>3</v>
      </c>
      <c r="N3" s="44" t="s">
        <v>174</v>
      </c>
      <c r="O3" s="65" t="s">
        <v>161</v>
      </c>
    </row>
    <row r="4" spans="1:15" x14ac:dyDescent="0.25">
      <c r="C4" s="56" t="s">
        <v>43</v>
      </c>
      <c r="D4" s="9">
        <v>146.5</v>
      </c>
      <c r="E4" s="9">
        <v>290</v>
      </c>
      <c r="F4" s="51">
        <v>0.5051724137931034</v>
      </c>
      <c r="G4" s="9">
        <v>2017</v>
      </c>
      <c r="H4" s="9">
        <v>3</v>
      </c>
      <c r="I4" s="57" t="s">
        <v>161</v>
      </c>
      <c r="J4" s="35"/>
      <c r="K4" s="40" t="s">
        <v>172</v>
      </c>
      <c r="L4" s="38" t="s">
        <v>46</v>
      </c>
      <c r="M4" s="65">
        <v>3</v>
      </c>
      <c r="N4" s="44" t="s">
        <v>167</v>
      </c>
      <c r="O4" s="65" t="s">
        <v>161</v>
      </c>
    </row>
    <row r="5" spans="1:15" ht="15.75" thickBot="1" x14ac:dyDescent="0.3">
      <c r="C5" s="58" t="s">
        <v>43</v>
      </c>
      <c r="D5" s="59">
        <v>145</v>
      </c>
      <c r="E5" s="59">
        <v>290</v>
      </c>
      <c r="F5" s="60">
        <v>0.5</v>
      </c>
      <c r="G5" s="59">
        <v>2016</v>
      </c>
      <c r="H5" s="59">
        <v>3</v>
      </c>
      <c r="I5" s="61" t="s">
        <v>161</v>
      </c>
      <c r="J5" s="35"/>
      <c r="K5" s="40" t="s">
        <v>172</v>
      </c>
      <c r="L5" s="38" t="s">
        <v>56</v>
      </c>
      <c r="M5" s="65">
        <v>3</v>
      </c>
      <c r="N5" s="44" t="s">
        <v>168</v>
      </c>
      <c r="O5" s="65" t="s">
        <v>161</v>
      </c>
    </row>
    <row r="6" spans="1:15" x14ac:dyDescent="0.25">
      <c r="B6" s="28" t="s">
        <v>165</v>
      </c>
      <c r="C6" s="52" t="s">
        <v>46</v>
      </c>
      <c r="D6" s="53">
        <v>155.5</v>
      </c>
      <c r="E6" s="53">
        <v>300</v>
      </c>
      <c r="F6" s="54">
        <v>0.51833333333333331</v>
      </c>
      <c r="G6" s="53">
        <v>2019</v>
      </c>
      <c r="H6" s="53">
        <v>3</v>
      </c>
      <c r="I6" s="55" t="s">
        <v>161</v>
      </c>
      <c r="J6" s="35"/>
      <c r="K6" s="40" t="s">
        <v>173</v>
      </c>
      <c r="L6" s="38" t="s">
        <v>59</v>
      </c>
      <c r="M6" s="65">
        <v>2</v>
      </c>
      <c r="N6" s="44" t="s">
        <v>209</v>
      </c>
      <c r="O6" s="66" t="s">
        <v>162</v>
      </c>
    </row>
    <row r="7" spans="1:15" x14ac:dyDescent="0.25">
      <c r="C7" s="56" t="s">
        <v>46</v>
      </c>
      <c r="D7" s="9">
        <v>146.5</v>
      </c>
      <c r="E7" s="9">
        <v>290</v>
      </c>
      <c r="F7" s="51">
        <v>0.5051724137931034</v>
      </c>
      <c r="G7" s="9">
        <v>2018</v>
      </c>
      <c r="H7" s="9">
        <v>3</v>
      </c>
      <c r="I7" s="57" t="s">
        <v>161</v>
      </c>
      <c r="J7" s="35"/>
      <c r="K7" s="40" t="s">
        <v>173</v>
      </c>
      <c r="L7" s="38" t="s">
        <v>43</v>
      </c>
      <c r="M7" s="65">
        <v>2</v>
      </c>
      <c r="N7" s="44" t="s">
        <v>209</v>
      </c>
      <c r="O7" s="66" t="s">
        <v>162</v>
      </c>
    </row>
    <row r="8" spans="1:15" ht="15.75" thickBot="1" x14ac:dyDescent="0.3">
      <c r="C8" s="58" t="s">
        <v>46</v>
      </c>
      <c r="D8" s="59">
        <v>151.5</v>
      </c>
      <c r="E8" s="59">
        <v>290</v>
      </c>
      <c r="F8" s="60">
        <v>0.52241379310344827</v>
      </c>
      <c r="G8" s="59">
        <v>2017</v>
      </c>
      <c r="H8" s="59">
        <v>3</v>
      </c>
      <c r="I8" s="61" t="s">
        <v>161</v>
      </c>
      <c r="J8" s="35"/>
      <c r="K8" s="40" t="s">
        <v>173</v>
      </c>
      <c r="L8" s="38" t="s">
        <v>36</v>
      </c>
      <c r="M8" s="65">
        <v>2</v>
      </c>
      <c r="N8" s="44" t="s">
        <v>209</v>
      </c>
      <c r="O8" s="66" t="s">
        <v>162</v>
      </c>
    </row>
    <row r="9" spans="1:15" x14ac:dyDescent="0.25">
      <c r="B9" s="28" t="s">
        <v>165</v>
      </c>
      <c r="C9" s="52" t="s">
        <v>56</v>
      </c>
      <c r="D9" s="53">
        <v>146.5</v>
      </c>
      <c r="E9" s="53">
        <v>290</v>
      </c>
      <c r="F9" s="54">
        <v>0.5051724137931034</v>
      </c>
      <c r="G9" s="53">
        <v>2017</v>
      </c>
      <c r="H9" s="53">
        <v>3</v>
      </c>
      <c r="I9" s="55" t="s">
        <v>161</v>
      </c>
      <c r="J9" s="35"/>
      <c r="K9" s="40" t="s">
        <v>173</v>
      </c>
      <c r="L9" s="38" t="s">
        <v>57</v>
      </c>
      <c r="M9" s="65">
        <v>2</v>
      </c>
      <c r="N9" s="44" t="s">
        <v>209</v>
      </c>
      <c r="O9" s="66" t="s">
        <v>162</v>
      </c>
    </row>
    <row r="10" spans="1:15" x14ac:dyDescent="0.25">
      <c r="C10" s="56" t="s">
        <v>56</v>
      </c>
      <c r="D10" s="9">
        <v>146</v>
      </c>
      <c r="E10" s="9">
        <v>290</v>
      </c>
      <c r="F10" s="51">
        <v>0.50344827586206897</v>
      </c>
      <c r="G10" s="9">
        <v>2016</v>
      </c>
      <c r="H10" s="9">
        <v>3</v>
      </c>
      <c r="I10" s="57" t="s">
        <v>161</v>
      </c>
      <c r="J10" s="35"/>
      <c r="K10" s="40" t="s">
        <v>173</v>
      </c>
      <c r="L10" s="38" t="s">
        <v>42</v>
      </c>
      <c r="M10" s="65">
        <v>2</v>
      </c>
      <c r="N10" s="44" t="s">
        <v>209</v>
      </c>
      <c r="O10" s="66" t="s">
        <v>162</v>
      </c>
    </row>
    <row r="11" spans="1:15" ht="15.75" thickBot="1" x14ac:dyDescent="0.3">
      <c r="C11" s="58" t="s">
        <v>56</v>
      </c>
      <c r="D11" s="59">
        <v>186.5</v>
      </c>
      <c r="E11" s="59">
        <v>350</v>
      </c>
      <c r="F11" s="60">
        <v>0.53285714285714281</v>
      </c>
      <c r="G11" s="59">
        <v>2015</v>
      </c>
      <c r="H11" s="59">
        <v>3</v>
      </c>
      <c r="I11" s="61" t="s">
        <v>161</v>
      </c>
      <c r="J11" s="35"/>
      <c r="K11" s="40" t="s">
        <v>173</v>
      </c>
      <c r="L11" s="38" t="s">
        <v>39</v>
      </c>
      <c r="M11" s="65">
        <v>2</v>
      </c>
      <c r="N11" s="44" t="s">
        <v>187</v>
      </c>
      <c r="O11" s="65" t="s">
        <v>161</v>
      </c>
    </row>
    <row r="12" spans="1:15" x14ac:dyDescent="0.25">
      <c r="B12" s="28" t="s">
        <v>166</v>
      </c>
      <c r="C12" s="52" t="s">
        <v>61</v>
      </c>
      <c r="D12" s="53">
        <v>149</v>
      </c>
      <c r="E12" s="53">
        <v>292</v>
      </c>
      <c r="F12" s="54">
        <v>0.51027397260273977</v>
      </c>
      <c r="G12" s="53">
        <v>2020</v>
      </c>
      <c r="H12" s="53">
        <v>2</v>
      </c>
      <c r="I12" s="55" t="s">
        <v>161</v>
      </c>
      <c r="K12" s="40" t="s">
        <v>173</v>
      </c>
      <c r="L12" s="38" t="s">
        <v>61</v>
      </c>
      <c r="M12" s="65">
        <v>2</v>
      </c>
      <c r="N12" s="44" t="s">
        <v>169</v>
      </c>
      <c r="O12" s="65" t="s">
        <v>161</v>
      </c>
    </row>
    <row r="13" spans="1:15" ht="15.75" thickBot="1" x14ac:dyDescent="0.3">
      <c r="C13" s="56" t="s">
        <v>61</v>
      </c>
      <c r="D13" s="9">
        <v>166.5</v>
      </c>
      <c r="E13" s="9">
        <v>300</v>
      </c>
      <c r="F13" s="51">
        <v>0.55500000000000005</v>
      </c>
      <c r="G13" s="9">
        <v>2019</v>
      </c>
      <c r="H13" s="9">
        <v>2</v>
      </c>
      <c r="I13" s="57" t="s">
        <v>161</v>
      </c>
      <c r="K13" s="40" t="s">
        <v>173</v>
      </c>
      <c r="L13" s="38" t="s">
        <v>45</v>
      </c>
      <c r="M13" s="65">
        <v>2</v>
      </c>
      <c r="N13" s="44" t="s">
        <v>169</v>
      </c>
      <c r="O13" s="65" t="s">
        <v>161</v>
      </c>
    </row>
    <row r="14" spans="1:15" x14ac:dyDescent="0.25">
      <c r="B14" s="28" t="s">
        <v>166</v>
      </c>
      <c r="C14" s="52" t="s">
        <v>39</v>
      </c>
      <c r="D14" s="53">
        <v>155.5</v>
      </c>
      <c r="E14" s="53">
        <v>288</v>
      </c>
      <c r="F14" s="54">
        <v>0.53993055555555558</v>
      </c>
      <c r="G14" s="53">
        <v>2021</v>
      </c>
      <c r="H14" s="53">
        <v>2</v>
      </c>
      <c r="I14" s="55" t="s">
        <v>161</v>
      </c>
      <c r="K14" s="40" t="s">
        <v>173</v>
      </c>
      <c r="L14" s="38" t="s">
        <v>54</v>
      </c>
      <c r="M14" s="65">
        <v>2</v>
      </c>
      <c r="N14" s="44" t="s">
        <v>169</v>
      </c>
      <c r="O14" s="65" t="s">
        <v>161</v>
      </c>
    </row>
    <row r="15" spans="1:15" ht="15.75" thickBot="1" x14ac:dyDescent="0.3">
      <c r="C15" s="58" t="s">
        <v>39</v>
      </c>
      <c r="D15" s="59">
        <v>147</v>
      </c>
      <c r="E15" s="59">
        <v>292</v>
      </c>
      <c r="F15" s="60">
        <v>0.50342465753424659</v>
      </c>
      <c r="G15" s="59">
        <v>2020</v>
      </c>
      <c r="H15" s="59">
        <v>2</v>
      </c>
      <c r="I15" s="61" t="s">
        <v>161</v>
      </c>
      <c r="K15" s="40" t="s">
        <v>173</v>
      </c>
      <c r="L15" s="38" t="s">
        <v>39</v>
      </c>
      <c r="M15" s="65">
        <v>2</v>
      </c>
      <c r="N15" s="44" t="s">
        <v>171</v>
      </c>
      <c r="O15" s="65" t="s">
        <v>161</v>
      </c>
    </row>
    <row r="16" spans="1:15" x14ac:dyDescent="0.25">
      <c r="B16" s="28" t="s">
        <v>166</v>
      </c>
      <c r="C16" s="56" t="s">
        <v>45</v>
      </c>
      <c r="D16" s="9">
        <v>158</v>
      </c>
      <c r="E16" s="9">
        <v>292</v>
      </c>
      <c r="F16" s="51">
        <v>0.54109589041095896</v>
      </c>
      <c r="G16" s="9">
        <v>2020</v>
      </c>
      <c r="H16" s="9">
        <v>2</v>
      </c>
      <c r="I16" s="57" t="s">
        <v>161</v>
      </c>
      <c r="K16" s="40" t="s">
        <v>173</v>
      </c>
      <c r="L16" s="38" t="s">
        <v>60</v>
      </c>
      <c r="M16" s="65">
        <v>2</v>
      </c>
      <c r="N16" s="44" t="s">
        <v>170</v>
      </c>
      <c r="O16" s="65" t="s">
        <v>161</v>
      </c>
    </row>
    <row r="17" spans="2:15" ht="15.75" thickBot="1" x14ac:dyDescent="0.3">
      <c r="C17" s="58" t="s">
        <v>45</v>
      </c>
      <c r="D17" s="59">
        <v>155.5</v>
      </c>
      <c r="E17" s="59">
        <v>300</v>
      </c>
      <c r="F17" s="60">
        <v>0.51833333333333331</v>
      </c>
      <c r="G17" s="59">
        <v>2019</v>
      </c>
      <c r="H17" s="59">
        <v>2</v>
      </c>
      <c r="I17" s="61" t="s">
        <v>161</v>
      </c>
      <c r="K17" s="42" t="s">
        <v>173</v>
      </c>
      <c r="L17" s="43" t="s">
        <v>40</v>
      </c>
      <c r="M17" s="69">
        <v>2</v>
      </c>
      <c r="N17" s="45" t="s">
        <v>170</v>
      </c>
      <c r="O17" s="65" t="s">
        <v>161</v>
      </c>
    </row>
    <row r="18" spans="2:15" x14ac:dyDescent="0.25">
      <c r="B18" s="28" t="s">
        <v>166</v>
      </c>
      <c r="C18" s="52" t="s">
        <v>54</v>
      </c>
      <c r="D18" s="53">
        <v>148</v>
      </c>
      <c r="E18" s="53">
        <v>292</v>
      </c>
      <c r="F18" s="54">
        <v>0.50684931506849318</v>
      </c>
      <c r="G18" s="53">
        <v>2020</v>
      </c>
      <c r="H18" s="53">
        <v>2</v>
      </c>
      <c r="I18" s="55" t="s">
        <v>161</v>
      </c>
    </row>
    <row r="19" spans="2:15" ht="15.75" thickBot="1" x14ac:dyDescent="0.3">
      <c r="C19" s="58" t="s">
        <v>54</v>
      </c>
      <c r="D19" s="59">
        <v>159.5</v>
      </c>
      <c r="E19" s="59">
        <v>300</v>
      </c>
      <c r="F19" s="60">
        <v>0.53166666666666662</v>
      </c>
      <c r="G19" s="59">
        <v>2019</v>
      </c>
      <c r="H19" s="59">
        <v>2</v>
      </c>
      <c r="I19" s="61" t="s">
        <v>161</v>
      </c>
    </row>
    <row r="20" spans="2:15" x14ac:dyDescent="0.25">
      <c r="B20" s="28" t="s">
        <v>166</v>
      </c>
      <c r="C20" s="52" t="s">
        <v>60</v>
      </c>
      <c r="D20" s="53">
        <v>150</v>
      </c>
      <c r="E20" s="53">
        <v>290</v>
      </c>
      <c r="F20" s="54">
        <v>0.51724137931034486</v>
      </c>
      <c r="G20" s="53">
        <v>2016</v>
      </c>
      <c r="H20" s="53">
        <v>2</v>
      </c>
      <c r="I20" s="55" t="s">
        <v>161</v>
      </c>
    </row>
    <row r="21" spans="2:15" ht="15.75" thickBot="1" x14ac:dyDescent="0.3">
      <c r="C21" s="58" t="s">
        <v>60</v>
      </c>
      <c r="D21" s="59">
        <v>183.5</v>
      </c>
      <c r="E21" s="59">
        <v>350</v>
      </c>
      <c r="F21" s="60">
        <v>0.52428571428571424</v>
      </c>
      <c r="G21" s="59">
        <v>2015</v>
      </c>
      <c r="H21" s="59">
        <v>2</v>
      </c>
      <c r="I21" s="61" t="s">
        <v>161</v>
      </c>
    </row>
    <row r="22" spans="2:15" x14ac:dyDescent="0.25">
      <c r="B22" s="28" t="s">
        <v>166</v>
      </c>
      <c r="C22" s="52" t="s">
        <v>40</v>
      </c>
      <c r="D22" s="53">
        <v>152</v>
      </c>
      <c r="E22" s="53">
        <v>290</v>
      </c>
      <c r="F22" s="54">
        <v>0.52413793103448281</v>
      </c>
      <c r="G22" s="53">
        <v>2016</v>
      </c>
      <c r="H22" s="53">
        <v>2</v>
      </c>
      <c r="I22" s="55" t="s">
        <v>161</v>
      </c>
    </row>
    <row r="23" spans="2:15" ht="15.75" thickBot="1" x14ac:dyDescent="0.3">
      <c r="C23" s="58" t="s">
        <v>40</v>
      </c>
      <c r="D23" s="59">
        <v>175.5</v>
      </c>
      <c r="E23" s="59">
        <v>350</v>
      </c>
      <c r="F23" s="60">
        <v>0.50142857142857145</v>
      </c>
      <c r="G23" s="59">
        <v>2015</v>
      </c>
      <c r="H23" s="59">
        <v>2</v>
      </c>
      <c r="I23" s="61" t="s">
        <v>161</v>
      </c>
    </row>
    <row r="24" spans="2:15" x14ac:dyDescent="0.25">
      <c r="B24" s="28" t="s">
        <v>166</v>
      </c>
      <c r="C24" s="52" t="s">
        <v>39</v>
      </c>
      <c r="D24" s="53">
        <v>151.5</v>
      </c>
      <c r="E24" s="53">
        <v>290</v>
      </c>
      <c r="F24" s="54">
        <v>0.52241379310344827</v>
      </c>
      <c r="G24" s="53">
        <v>2018</v>
      </c>
      <c r="H24" s="53">
        <v>2</v>
      </c>
      <c r="I24" s="55" t="s">
        <v>161</v>
      </c>
    </row>
    <row r="25" spans="2:15" ht="15.75" thickBot="1" x14ac:dyDescent="0.3">
      <c r="C25" s="56" t="s">
        <v>39</v>
      </c>
      <c r="D25" s="9">
        <v>146.5</v>
      </c>
      <c r="E25" s="9">
        <v>290</v>
      </c>
      <c r="F25" s="51">
        <v>0.5051724137931034</v>
      </c>
      <c r="G25" s="9">
        <v>2017</v>
      </c>
      <c r="H25" s="9">
        <v>2</v>
      </c>
      <c r="I25" s="57" t="s">
        <v>161</v>
      </c>
    </row>
    <row r="26" spans="2:15" x14ac:dyDescent="0.25">
      <c r="B26" s="28" t="s">
        <v>166</v>
      </c>
      <c r="C26" s="182" t="s">
        <v>59</v>
      </c>
      <c r="D26" s="53">
        <v>156.5</v>
      </c>
      <c r="E26" s="53">
        <v>290</v>
      </c>
      <c r="F26" s="54">
        <v>0.53965517241379313</v>
      </c>
      <c r="G26" s="53">
        <v>2022</v>
      </c>
      <c r="H26" s="53">
        <v>2</v>
      </c>
      <c r="I26" s="180" t="s">
        <v>162</v>
      </c>
    </row>
    <row r="27" spans="2:15" ht="15.75" thickBot="1" x14ac:dyDescent="0.3">
      <c r="C27" s="183" t="s">
        <v>59</v>
      </c>
      <c r="D27" s="9">
        <v>149.5</v>
      </c>
      <c r="E27" s="9">
        <v>288</v>
      </c>
      <c r="F27" s="51">
        <v>0.51909722222222221</v>
      </c>
      <c r="G27" s="9">
        <v>2021</v>
      </c>
      <c r="H27" s="9">
        <v>2</v>
      </c>
      <c r="I27" s="181" t="s">
        <v>162</v>
      </c>
    </row>
    <row r="28" spans="2:15" x14ac:dyDescent="0.25">
      <c r="B28" s="28" t="s">
        <v>166</v>
      </c>
      <c r="C28" s="182" t="s">
        <v>43</v>
      </c>
      <c r="D28" s="53">
        <v>146.5</v>
      </c>
      <c r="E28" s="53">
        <v>290</v>
      </c>
      <c r="F28" s="54">
        <v>0.5051724137931034</v>
      </c>
      <c r="G28" s="53">
        <v>2022</v>
      </c>
      <c r="H28" s="53">
        <v>2</v>
      </c>
      <c r="I28" s="180" t="s">
        <v>162</v>
      </c>
    </row>
    <row r="29" spans="2:15" ht="15.75" thickBot="1" x14ac:dyDescent="0.3">
      <c r="C29" s="184" t="s">
        <v>43</v>
      </c>
      <c r="D29" s="59">
        <v>152.5</v>
      </c>
      <c r="E29" s="59">
        <v>288</v>
      </c>
      <c r="F29" s="60">
        <v>0.52951388888888884</v>
      </c>
      <c r="G29" s="59">
        <v>2021</v>
      </c>
      <c r="H29" s="59">
        <v>2</v>
      </c>
      <c r="I29" s="185" t="s">
        <v>162</v>
      </c>
    </row>
    <row r="30" spans="2:15" x14ac:dyDescent="0.25">
      <c r="B30" s="28" t="s">
        <v>166</v>
      </c>
      <c r="C30" s="182" t="s">
        <v>36</v>
      </c>
      <c r="D30" s="53">
        <v>146.5</v>
      </c>
      <c r="E30" s="53">
        <v>290</v>
      </c>
      <c r="F30" s="54">
        <v>0.5051724137931034</v>
      </c>
      <c r="G30" s="53">
        <v>2022</v>
      </c>
      <c r="H30" s="53">
        <v>2</v>
      </c>
      <c r="I30" s="180" t="s">
        <v>162</v>
      </c>
    </row>
    <row r="31" spans="2:15" ht="15.75" thickBot="1" x14ac:dyDescent="0.3">
      <c r="C31" s="184" t="s">
        <v>36</v>
      </c>
      <c r="D31" s="59">
        <v>158.5</v>
      </c>
      <c r="E31" s="59">
        <v>288</v>
      </c>
      <c r="F31" s="60">
        <v>0.55034722222222221</v>
      </c>
      <c r="G31" s="59">
        <v>2021</v>
      </c>
      <c r="H31" s="59">
        <v>2</v>
      </c>
      <c r="I31" s="185" t="s">
        <v>162</v>
      </c>
    </row>
    <row r="32" spans="2:15" x14ac:dyDescent="0.25">
      <c r="B32" s="28" t="s">
        <v>166</v>
      </c>
      <c r="C32" s="52" t="s">
        <v>57</v>
      </c>
      <c r="D32" s="97">
        <v>146.5</v>
      </c>
      <c r="E32" s="97">
        <v>290</v>
      </c>
      <c r="F32" s="98">
        <v>0.5051724137931034</v>
      </c>
      <c r="G32" s="53">
        <v>2022</v>
      </c>
      <c r="H32" s="53">
        <v>2</v>
      </c>
      <c r="I32" s="55" t="s">
        <v>161</v>
      </c>
    </row>
    <row r="33" spans="2:9" ht="15.75" thickBot="1" x14ac:dyDescent="0.3">
      <c r="C33" s="58" t="s">
        <v>57</v>
      </c>
      <c r="D33" s="59">
        <v>150.5</v>
      </c>
      <c r="E33" s="59">
        <v>288</v>
      </c>
      <c r="F33" s="60">
        <v>0.52256944444444442</v>
      </c>
      <c r="G33" s="59">
        <v>2021</v>
      </c>
      <c r="H33" s="59">
        <v>2</v>
      </c>
      <c r="I33" s="61" t="s">
        <v>161</v>
      </c>
    </row>
    <row r="34" spans="2:9" x14ac:dyDescent="0.25">
      <c r="B34" s="28" t="s">
        <v>166</v>
      </c>
      <c r="C34" s="182" t="s">
        <v>42</v>
      </c>
      <c r="D34" s="97">
        <v>152.5</v>
      </c>
      <c r="E34" s="97">
        <v>290</v>
      </c>
      <c r="F34" s="98">
        <v>0.52586206896551724</v>
      </c>
      <c r="G34" s="53">
        <v>2022</v>
      </c>
      <c r="H34" s="53">
        <v>2</v>
      </c>
      <c r="I34" s="180" t="s">
        <v>162</v>
      </c>
    </row>
    <row r="35" spans="2:9" ht="15.75" thickBot="1" x14ac:dyDescent="0.3">
      <c r="C35" s="184" t="s">
        <v>42</v>
      </c>
      <c r="D35" s="59">
        <v>153.5</v>
      </c>
      <c r="E35" s="59">
        <v>288</v>
      </c>
      <c r="F35" s="60">
        <v>0.53298611111111116</v>
      </c>
      <c r="G35" s="59">
        <v>2021</v>
      </c>
      <c r="H35" s="59">
        <v>2</v>
      </c>
      <c r="I35" s="185" t="s">
        <v>162</v>
      </c>
    </row>
    <row r="36" spans="2:9" x14ac:dyDescent="0.25">
      <c r="C36" s="115" t="s">
        <v>60</v>
      </c>
      <c r="D36" s="116">
        <v>145.5</v>
      </c>
      <c r="E36" s="116">
        <v>290</v>
      </c>
      <c r="F36" s="117">
        <v>0.50172413793103443</v>
      </c>
      <c r="G36" s="116">
        <v>2022</v>
      </c>
      <c r="H36" s="116">
        <v>1</v>
      </c>
      <c r="I36" s="12" t="s">
        <v>161</v>
      </c>
    </row>
    <row r="37" spans="2:9" x14ac:dyDescent="0.25">
      <c r="C37" s="178" t="s">
        <v>191</v>
      </c>
      <c r="D37" s="12">
        <v>150.5</v>
      </c>
      <c r="E37" s="12">
        <v>290</v>
      </c>
      <c r="F37" s="34">
        <v>0.51896551724137929</v>
      </c>
      <c r="G37" s="12">
        <v>2022</v>
      </c>
      <c r="H37" s="12">
        <v>1</v>
      </c>
      <c r="I37" s="179" t="s">
        <v>162</v>
      </c>
    </row>
    <row r="38" spans="2:9" x14ac:dyDescent="0.25">
      <c r="C38" s="25" t="s">
        <v>66</v>
      </c>
      <c r="D38" s="12">
        <v>157.5</v>
      </c>
      <c r="E38" s="12">
        <v>300</v>
      </c>
      <c r="F38" s="34">
        <v>0.52500000000000002</v>
      </c>
      <c r="G38" s="12">
        <v>2019</v>
      </c>
      <c r="H38" s="12">
        <v>1</v>
      </c>
      <c r="I38" s="62" t="s">
        <v>162</v>
      </c>
    </row>
    <row r="39" spans="2:9" x14ac:dyDescent="0.25">
      <c r="C39" s="25" t="s">
        <v>82</v>
      </c>
      <c r="D39" s="12">
        <v>154.5</v>
      </c>
      <c r="E39" s="12">
        <v>300</v>
      </c>
      <c r="F39" s="34">
        <v>0.51500000000000001</v>
      </c>
      <c r="G39" s="12">
        <v>2019</v>
      </c>
      <c r="H39" s="12">
        <v>1</v>
      </c>
      <c r="I39" s="62" t="s">
        <v>162</v>
      </c>
    </row>
    <row r="40" spans="2:9" x14ac:dyDescent="0.25">
      <c r="C40" s="25" t="s">
        <v>47</v>
      </c>
      <c r="D40" s="12">
        <v>152.5</v>
      </c>
      <c r="E40" s="12">
        <v>288</v>
      </c>
      <c r="F40" s="34">
        <v>0.52951388888888884</v>
      </c>
      <c r="G40" s="12">
        <v>2021</v>
      </c>
      <c r="H40" s="12">
        <v>1</v>
      </c>
      <c r="I40" s="12" t="s">
        <v>161</v>
      </c>
    </row>
    <row r="41" spans="2:9" x14ac:dyDescent="0.25">
      <c r="C41" s="25" t="s">
        <v>53</v>
      </c>
      <c r="D41" s="12">
        <v>150.5</v>
      </c>
      <c r="E41" s="12">
        <v>288</v>
      </c>
      <c r="F41" s="34">
        <v>0.52256944444444442</v>
      </c>
      <c r="G41" s="12">
        <v>2021</v>
      </c>
      <c r="H41" s="12">
        <v>1</v>
      </c>
      <c r="I41" s="12" t="s">
        <v>161</v>
      </c>
    </row>
    <row r="42" spans="2:9" x14ac:dyDescent="0.25">
      <c r="C42" s="25" t="s">
        <v>38</v>
      </c>
      <c r="D42" s="12">
        <v>146.5</v>
      </c>
      <c r="E42" s="12">
        <v>288</v>
      </c>
      <c r="F42" s="34">
        <v>0.50868055555555558</v>
      </c>
      <c r="G42" s="12">
        <v>2021</v>
      </c>
      <c r="H42" s="12">
        <v>1</v>
      </c>
      <c r="I42" s="12" t="s">
        <v>161</v>
      </c>
    </row>
    <row r="43" spans="2:9" x14ac:dyDescent="0.25">
      <c r="C43" s="25" t="s">
        <v>37</v>
      </c>
      <c r="D43" s="12">
        <v>146.5</v>
      </c>
      <c r="E43" s="12">
        <v>288</v>
      </c>
      <c r="F43" s="34">
        <v>0.50868055555555558</v>
      </c>
      <c r="G43" s="12">
        <v>2021</v>
      </c>
      <c r="H43" s="12">
        <v>1</v>
      </c>
      <c r="I43" s="12" t="s">
        <v>161</v>
      </c>
    </row>
    <row r="44" spans="2:9" x14ac:dyDescent="0.25">
      <c r="C44" s="25" t="s">
        <v>48</v>
      </c>
      <c r="D44" s="12">
        <v>145.5</v>
      </c>
      <c r="E44" s="12">
        <v>288</v>
      </c>
      <c r="F44" s="34">
        <v>0.50520833333333337</v>
      </c>
      <c r="G44" s="12">
        <v>2021</v>
      </c>
      <c r="H44" s="12">
        <v>1</v>
      </c>
      <c r="I44" s="12" t="s">
        <v>161</v>
      </c>
    </row>
    <row r="45" spans="2:9" x14ac:dyDescent="0.25">
      <c r="C45" s="25" t="s">
        <v>40</v>
      </c>
      <c r="D45" s="12">
        <v>144.5</v>
      </c>
      <c r="E45" s="12">
        <v>288</v>
      </c>
      <c r="F45" s="34">
        <v>0.50173611111111116</v>
      </c>
      <c r="G45" s="12">
        <v>2021</v>
      </c>
      <c r="H45" s="12">
        <v>1</v>
      </c>
      <c r="I45" s="12" t="s">
        <v>161</v>
      </c>
    </row>
    <row r="46" spans="2:9" x14ac:dyDescent="0.25">
      <c r="C46" s="25" t="s">
        <v>44</v>
      </c>
      <c r="D46" s="12">
        <v>144.5</v>
      </c>
      <c r="E46" s="12">
        <v>288</v>
      </c>
      <c r="F46" s="34">
        <v>0.50173611111111116</v>
      </c>
      <c r="G46" s="12">
        <v>2021</v>
      </c>
      <c r="H46" s="12">
        <v>1</v>
      </c>
      <c r="I46" s="12" t="s">
        <v>161</v>
      </c>
    </row>
    <row r="47" spans="2:9" x14ac:dyDescent="0.25">
      <c r="C47" s="25" t="s">
        <v>52</v>
      </c>
      <c r="D47" s="12">
        <v>144.5</v>
      </c>
      <c r="E47" s="12">
        <v>288</v>
      </c>
      <c r="F47" s="34">
        <v>0.50173611111111116</v>
      </c>
      <c r="G47" s="12">
        <v>2021</v>
      </c>
      <c r="H47" s="12">
        <v>1</v>
      </c>
      <c r="I47" s="12" t="s">
        <v>161</v>
      </c>
    </row>
    <row r="48" spans="2:9" x14ac:dyDescent="0.25">
      <c r="C48" s="25" t="s">
        <v>60</v>
      </c>
      <c r="D48" s="12">
        <v>161</v>
      </c>
      <c r="E48" s="12">
        <v>292</v>
      </c>
      <c r="F48" s="34">
        <v>0.55136986301369861</v>
      </c>
      <c r="G48" s="12">
        <v>2020</v>
      </c>
      <c r="H48" s="12">
        <v>1</v>
      </c>
      <c r="I48" s="12" t="s">
        <v>161</v>
      </c>
    </row>
    <row r="49" spans="3:9" x14ac:dyDescent="0.25">
      <c r="C49" s="25" t="s">
        <v>62</v>
      </c>
      <c r="D49" s="12">
        <v>159</v>
      </c>
      <c r="E49" s="12">
        <v>292</v>
      </c>
      <c r="F49" s="34">
        <v>0.54452054794520544</v>
      </c>
      <c r="G49" s="12">
        <v>2020</v>
      </c>
      <c r="H49" s="12">
        <v>1</v>
      </c>
      <c r="I49" s="12" t="s">
        <v>161</v>
      </c>
    </row>
    <row r="50" spans="3:9" x14ac:dyDescent="0.25">
      <c r="C50" s="25" t="s">
        <v>51</v>
      </c>
      <c r="D50" s="12">
        <v>160.5</v>
      </c>
      <c r="E50" s="12">
        <v>300</v>
      </c>
      <c r="F50" s="34">
        <v>0.53500000000000003</v>
      </c>
      <c r="G50" s="12">
        <v>2019</v>
      </c>
      <c r="H50" s="12">
        <v>1</v>
      </c>
      <c r="I50" s="12" t="s">
        <v>161</v>
      </c>
    </row>
    <row r="51" spans="3:9" x14ac:dyDescent="0.25">
      <c r="C51" s="25" t="s">
        <v>50</v>
      </c>
      <c r="D51" s="12">
        <v>156.5</v>
      </c>
      <c r="E51" s="12">
        <v>300</v>
      </c>
      <c r="F51" s="34">
        <v>0.52166666666666661</v>
      </c>
      <c r="G51" s="12">
        <v>2019</v>
      </c>
      <c r="H51" s="12">
        <v>1</v>
      </c>
      <c r="I51" s="12" t="s">
        <v>161</v>
      </c>
    </row>
    <row r="52" spans="3:9" x14ac:dyDescent="0.25">
      <c r="C52" s="25" t="s">
        <v>52</v>
      </c>
      <c r="D52" s="12">
        <v>154.5</v>
      </c>
      <c r="E52" s="12">
        <v>300</v>
      </c>
      <c r="F52" s="34">
        <v>0.51500000000000001</v>
      </c>
      <c r="G52" s="12">
        <v>2019</v>
      </c>
      <c r="H52" s="12">
        <v>1</v>
      </c>
      <c r="I52" s="12" t="s">
        <v>161</v>
      </c>
    </row>
    <row r="53" spans="3:9" x14ac:dyDescent="0.25">
      <c r="C53" s="25" t="s">
        <v>42</v>
      </c>
      <c r="D53" s="12">
        <v>167.5</v>
      </c>
      <c r="E53" s="12">
        <v>300</v>
      </c>
      <c r="F53" s="34">
        <v>0.55833333333333335</v>
      </c>
      <c r="G53" s="12">
        <v>2019</v>
      </c>
      <c r="H53" s="12">
        <v>1</v>
      </c>
      <c r="I53" s="12" t="s">
        <v>161</v>
      </c>
    </row>
    <row r="54" spans="3:9" x14ac:dyDescent="0.25">
      <c r="C54" s="25" t="s">
        <v>48</v>
      </c>
      <c r="D54" s="12">
        <v>161.5</v>
      </c>
      <c r="E54" s="12">
        <v>300</v>
      </c>
      <c r="F54" s="34">
        <v>0.53833333333333333</v>
      </c>
      <c r="G54" s="12">
        <v>2019</v>
      </c>
      <c r="H54" s="12">
        <v>1</v>
      </c>
      <c r="I54" s="12" t="s">
        <v>161</v>
      </c>
    </row>
    <row r="55" spans="3:9" x14ac:dyDescent="0.25">
      <c r="C55" s="25" t="s">
        <v>51</v>
      </c>
      <c r="D55" s="12">
        <v>145.5</v>
      </c>
      <c r="E55" s="12">
        <v>290</v>
      </c>
      <c r="F55" s="34">
        <v>0.50172413793103443</v>
      </c>
      <c r="G55" s="12">
        <v>2017</v>
      </c>
      <c r="H55" s="12">
        <v>1</v>
      </c>
      <c r="I55" s="12" t="s">
        <v>161</v>
      </c>
    </row>
    <row r="56" spans="3:9" x14ac:dyDescent="0.25">
      <c r="C56" s="25" t="s">
        <v>50</v>
      </c>
      <c r="D56" s="12">
        <v>149.5</v>
      </c>
      <c r="E56" s="12">
        <v>290</v>
      </c>
      <c r="F56" s="34">
        <v>0.51551724137931032</v>
      </c>
      <c r="G56" s="12">
        <v>2017</v>
      </c>
      <c r="H56" s="12">
        <v>1</v>
      </c>
      <c r="I56" s="12" t="s">
        <v>161</v>
      </c>
    </row>
    <row r="57" spans="3:9" x14ac:dyDescent="0.25">
      <c r="C57" s="25" t="s">
        <v>75</v>
      </c>
      <c r="D57" s="12">
        <v>147.5</v>
      </c>
      <c r="E57" s="12">
        <v>290</v>
      </c>
      <c r="F57" s="34">
        <v>0.50862068965517238</v>
      </c>
      <c r="G57" s="12">
        <v>2017</v>
      </c>
      <c r="H57" s="12">
        <v>1</v>
      </c>
      <c r="I57" s="12" t="s">
        <v>161</v>
      </c>
    </row>
    <row r="58" spans="3:9" x14ac:dyDescent="0.25">
      <c r="C58" s="25" t="s">
        <v>44</v>
      </c>
      <c r="D58" s="12">
        <v>149.5</v>
      </c>
      <c r="E58" s="12">
        <v>290</v>
      </c>
      <c r="F58" s="34">
        <v>0.51551724137931032</v>
      </c>
      <c r="G58" s="12">
        <v>2017</v>
      </c>
      <c r="H58" s="12">
        <v>1</v>
      </c>
      <c r="I58" s="12" t="s">
        <v>161</v>
      </c>
    </row>
    <row r="59" spans="3:9" x14ac:dyDescent="0.25">
      <c r="C59" s="25" t="s">
        <v>52</v>
      </c>
      <c r="D59" s="12">
        <v>147.5</v>
      </c>
      <c r="E59" s="12">
        <v>290</v>
      </c>
      <c r="F59" s="34">
        <v>0.50862068965517238</v>
      </c>
      <c r="G59" s="12">
        <v>2017</v>
      </c>
      <c r="H59" s="12">
        <v>1</v>
      </c>
      <c r="I59" s="12" t="s">
        <v>161</v>
      </c>
    </row>
    <row r="60" spans="3:9" x14ac:dyDescent="0.25">
      <c r="C60" s="25" t="s">
        <v>76</v>
      </c>
      <c r="D60" s="12">
        <v>146.5</v>
      </c>
      <c r="E60" s="12">
        <v>290</v>
      </c>
      <c r="F60" s="34">
        <v>0.5051724137931034</v>
      </c>
      <c r="G60" s="12">
        <v>2017</v>
      </c>
      <c r="H60" s="12">
        <v>1</v>
      </c>
      <c r="I60" s="12" t="s">
        <v>161</v>
      </c>
    </row>
    <row r="61" spans="3:9" x14ac:dyDescent="0.25">
      <c r="C61" s="25" t="s">
        <v>53</v>
      </c>
      <c r="D61" s="12">
        <v>175.5</v>
      </c>
      <c r="E61" s="12">
        <v>350</v>
      </c>
      <c r="F61" s="34">
        <v>0.50142857142857145</v>
      </c>
      <c r="G61" s="12">
        <v>2015</v>
      </c>
      <c r="H61" s="12">
        <v>1</v>
      </c>
      <c r="I61" s="12" t="s">
        <v>161</v>
      </c>
    </row>
    <row r="62" spans="3:9" x14ac:dyDescent="0.25">
      <c r="C62" s="25" t="s">
        <v>67</v>
      </c>
      <c r="D62" s="12">
        <v>180.5</v>
      </c>
      <c r="E62" s="12">
        <v>350</v>
      </c>
      <c r="F62" s="34">
        <v>0.51571428571428568</v>
      </c>
      <c r="G62" s="12">
        <v>2015</v>
      </c>
      <c r="H62" s="12">
        <v>1</v>
      </c>
      <c r="I62" s="12" t="s">
        <v>161</v>
      </c>
    </row>
    <row r="63" spans="3:9" x14ac:dyDescent="0.25">
      <c r="C63" s="25" t="s">
        <v>50</v>
      </c>
      <c r="D63" s="12">
        <v>186.5</v>
      </c>
      <c r="E63" s="12">
        <v>350</v>
      </c>
      <c r="F63" s="34">
        <v>0.53285714285714281</v>
      </c>
      <c r="G63" s="12">
        <v>2015</v>
      </c>
      <c r="H63" s="12">
        <v>1</v>
      </c>
      <c r="I63" s="12" t="s">
        <v>161</v>
      </c>
    </row>
    <row r="64" spans="3:9" x14ac:dyDescent="0.25">
      <c r="C64" s="25" t="s">
        <v>55</v>
      </c>
      <c r="D64" s="12">
        <v>177.5</v>
      </c>
      <c r="E64" s="12">
        <v>350</v>
      </c>
      <c r="F64" s="34">
        <v>0.50714285714285712</v>
      </c>
      <c r="G64" s="12">
        <v>2015</v>
      </c>
      <c r="H64" s="12">
        <v>1</v>
      </c>
      <c r="I64" s="12" t="s">
        <v>161</v>
      </c>
    </row>
    <row r="65" spans="3:9" x14ac:dyDescent="0.25">
      <c r="C65" s="25" t="s">
        <v>47</v>
      </c>
      <c r="D65" s="12">
        <v>177.5</v>
      </c>
      <c r="E65" s="12">
        <v>350</v>
      </c>
      <c r="F65" s="34">
        <v>0.50714285714285712</v>
      </c>
      <c r="G65" s="12">
        <v>2015</v>
      </c>
      <c r="H65" s="12">
        <v>1</v>
      </c>
      <c r="I65" s="12" t="s">
        <v>161</v>
      </c>
    </row>
    <row r="66" spans="3:9" x14ac:dyDescent="0.25">
      <c r="C66" s="25" t="s">
        <v>68</v>
      </c>
      <c r="D66" s="12">
        <v>177.5</v>
      </c>
      <c r="E66" s="12">
        <v>350</v>
      </c>
      <c r="F66" s="34">
        <v>0.50714285714285712</v>
      </c>
      <c r="G66" s="12">
        <v>2015</v>
      </c>
      <c r="H66" s="12">
        <v>1</v>
      </c>
      <c r="I66" s="12" t="s">
        <v>161</v>
      </c>
    </row>
    <row r="67" spans="3:9" x14ac:dyDescent="0.25">
      <c r="C67" s="25" t="s">
        <v>66</v>
      </c>
      <c r="D67" s="12">
        <v>181.5</v>
      </c>
      <c r="E67" s="12">
        <v>350</v>
      </c>
      <c r="F67" s="34">
        <v>0.51857142857142857</v>
      </c>
      <c r="G67" s="12">
        <v>2015</v>
      </c>
      <c r="H67" s="12">
        <v>1</v>
      </c>
      <c r="I67" s="12" t="s">
        <v>161</v>
      </c>
    </row>
    <row r="68" spans="3:9" x14ac:dyDescent="0.25">
      <c r="C68" s="25" t="s">
        <v>48</v>
      </c>
      <c r="D68" s="12">
        <v>184</v>
      </c>
      <c r="E68" s="12">
        <v>350</v>
      </c>
      <c r="F68" s="34">
        <v>0.52571428571428569</v>
      </c>
      <c r="G68" s="12">
        <v>2015</v>
      </c>
      <c r="H68" s="12">
        <v>1</v>
      </c>
      <c r="I68" s="12" t="s">
        <v>161</v>
      </c>
    </row>
    <row r="69" spans="3:9" x14ac:dyDescent="0.25">
      <c r="C69" s="25" t="s">
        <v>45</v>
      </c>
      <c r="D69" s="12">
        <v>179.5</v>
      </c>
      <c r="E69" s="12">
        <v>350</v>
      </c>
      <c r="F69" s="34">
        <v>0.5128571428571429</v>
      </c>
      <c r="G69" s="12">
        <v>2015</v>
      </c>
      <c r="H69" s="12">
        <v>1</v>
      </c>
      <c r="I69" s="12" t="s">
        <v>161</v>
      </c>
    </row>
    <row r="70" spans="3:9" x14ac:dyDescent="0.25">
      <c r="C70" s="25" t="s">
        <v>239</v>
      </c>
      <c r="D70" s="25">
        <v>154</v>
      </c>
      <c r="E70" s="25">
        <v>285</v>
      </c>
      <c r="F70" s="177">
        <v>0.54035087719298247</v>
      </c>
      <c r="G70" s="12">
        <v>2025</v>
      </c>
      <c r="H70" s="12">
        <v>1</v>
      </c>
      <c r="I70" s="62" t="s">
        <v>162</v>
      </c>
    </row>
    <row r="71" spans="3:9" x14ac:dyDescent="0.25">
      <c r="C71" s="25" t="s">
        <v>60</v>
      </c>
      <c r="D71" s="25">
        <v>153</v>
      </c>
      <c r="E71" s="25">
        <v>285</v>
      </c>
      <c r="F71" s="177">
        <v>0.5368421052631579</v>
      </c>
      <c r="G71" s="12">
        <v>2025</v>
      </c>
      <c r="H71" s="12">
        <v>1</v>
      </c>
      <c r="I71" s="62" t="s">
        <v>162</v>
      </c>
    </row>
    <row r="72" spans="3:9" x14ac:dyDescent="0.25">
      <c r="C72" s="25" t="s">
        <v>240</v>
      </c>
      <c r="D72" s="25">
        <v>150</v>
      </c>
      <c r="E72" s="25">
        <v>285</v>
      </c>
      <c r="F72" s="177">
        <v>0.52631578947368418</v>
      </c>
      <c r="G72" s="12">
        <v>2025</v>
      </c>
      <c r="H72" s="12">
        <v>1</v>
      </c>
      <c r="I72" s="62" t="s">
        <v>162</v>
      </c>
    </row>
    <row r="73" spans="3:9" x14ac:dyDescent="0.25">
      <c r="C73" s="25" t="s">
        <v>62</v>
      </c>
      <c r="D73" s="25">
        <v>148</v>
      </c>
      <c r="E73" s="25">
        <v>285</v>
      </c>
      <c r="F73" s="177">
        <v>0.51929824561403504</v>
      </c>
      <c r="G73" s="12">
        <v>2025</v>
      </c>
      <c r="H73" s="12">
        <v>1</v>
      </c>
      <c r="I73" s="62" t="s">
        <v>162</v>
      </c>
    </row>
    <row r="74" spans="3:9" x14ac:dyDescent="0.25">
      <c r="C74" s="25" t="s">
        <v>54</v>
      </c>
      <c r="D74" s="25">
        <v>146</v>
      </c>
      <c r="E74" s="25">
        <v>285</v>
      </c>
      <c r="F74" s="177">
        <v>0.512280701754386</v>
      </c>
      <c r="G74" s="12">
        <v>2025</v>
      </c>
      <c r="H74" s="12">
        <v>1</v>
      </c>
      <c r="I74" s="62" t="s">
        <v>162</v>
      </c>
    </row>
    <row r="75" spans="3:9" x14ac:dyDescent="0.25">
      <c r="C75" s="25" t="s">
        <v>212</v>
      </c>
      <c r="D75" s="25">
        <v>145</v>
      </c>
      <c r="E75" s="25">
        <v>285</v>
      </c>
      <c r="F75" s="177">
        <v>0.50877192982456143</v>
      </c>
      <c r="G75" s="12">
        <v>2025</v>
      </c>
      <c r="H75" s="12">
        <v>1</v>
      </c>
      <c r="I75" s="62" t="s">
        <v>162</v>
      </c>
    </row>
    <row r="76" spans="3:9" x14ac:dyDescent="0.25">
      <c r="C76" s="25" t="s">
        <v>40</v>
      </c>
      <c r="D76" s="25">
        <v>145</v>
      </c>
      <c r="E76" s="25">
        <v>285</v>
      </c>
      <c r="F76" s="177">
        <v>0.50877192982456143</v>
      </c>
      <c r="G76" s="12">
        <v>2025</v>
      </c>
      <c r="H76" s="12">
        <v>1</v>
      </c>
      <c r="I76" s="62" t="s">
        <v>162</v>
      </c>
    </row>
    <row r="77" spans="3:9" x14ac:dyDescent="0.25">
      <c r="C77" s="25" t="s">
        <v>191</v>
      </c>
      <c r="D77" s="25">
        <v>145</v>
      </c>
      <c r="E77" s="25">
        <v>285</v>
      </c>
      <c r="F77" s="177">
        <v>0.50877192982456143</v>
      </c>
      <c r="G77" s="12">
        <v>2025</v>
      </c>
      <c r="H77" s="12">
        <v>1</v>
      </c>
      <c r="I77" s="62" t="s">
        <v>162</v>
      </c>
    </row>
    <row r="78" spans="3:9" x14ac:dyDescent="0.25">
      <c r="C78" s="25" t="s">
        <v>39</v>
      </c>
      <c r="D78" s="25">
        <v>144</v>
      </c>
      <c r="E78" s="25">
        <v>285</v>
      </c>
      <c r="F78" s="177">
        <v>0.50526315789473686</v>
      </c>
      <c r="G78" s="12">
        <v>2025</v>
      </c>
      <c r="H78" s="12">
        <v>1</v>
      </c>
      <c r="I78" s="62" t="s">
        <v>162</v>
      </c>
    </row>
    <row r="79" spans="3:9" x14ac:dyDescent="0.25">
      <c r="C79" s="25" t="s">
        <v>59</v>
      </c>
      <c r="D79" s="25">
        <v>144</v>
      </c>
      <c r="E79" s="25">
        <v>285</v>
      </c>
      <c r="F79" s="177">
        <v>0.50526315789473686</v>
      </c>
      <c r="G79" s="12">
        <v>2025</v>
      </c>
      <c r="H79" s="12">
        <v>1</v>
      </c>
      <c r="I79" s="62" t="s">
        <v>162</v>
      </c>
    </row>
  </sheetData>
  <sortState xmlns:xlrd2="http://schemas.microsoft.com/office/spreadsheetml/2017/richdata2" ref="C26:I39">
    <sortCondition ref="C26:C39"/>
    <sortCondition descending="1" ref="H26:H39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5BDE-61E3-40A0-9AED-C12A08193DC9}">
  <dimension ref="A1:IY40"/>
  <sheetViews>
    <sheetView workbookViewId="0">
      <selection activeCell="AB11" sqref="AB11"/>
    </sheetView>
  </sheetViews>
  <sheetFormatPr defaultRowHeight="15" x14ac:dyDescent="0.25"/>
  <cols>
    <col min="1" max="1" width="2.7109375" customWidth="1"/>
    <col min="2" max="2" width="5" bestFit="1" customWidth="1"/>
    <col min="3" max="3" width="9.5703125" bestFit="1" customWidth="1"/>
    <col min="4" max="4" width="9" bestFit="1" customWidth="1"/>
    <col min="5" max="5" width="7.85546875" bestFit="1" customWidth="1"/>
    <col min="6" max="6" width="2" bestFit="1" customWidth="1"/>
    <col min="7" max="7" width="5.5703125" bestFit="1" customWidth="1"/>
    <col min="8" max="8" width="5.85546875" bestFit="1" customWidth="1"/>
    <col min="9" max="9" width="7.7109375" bestFit="1" customWidth="1"/>
    <col min="10" max="17" width="2.7109375" customWidth="1"/>
    <col min="18" max="18" width="5" bestFit="1" customWidth="1"/>
    <col min="19" max="19" width="9.5703125" bestFit="1" customWidth="1"/>
    <col min="20" max="20" width="9" bestFit="1" customWidth="1"/>
    <col min="21" max="21" width="7.42578125" bestFit="1" customWidth="1"/>
    <col min="22" max="22" width="2" bestFit="1" customWidth="1"/>
    <col min="23" max="23" width="5.42578125" bestFit="1" customWidth="1"/>
    <col min="24" max="24" width="5.85546875" bestFit="1" customWidth="1"/>
    <col min="25" max="25" width="7.7109375" bestFit="1" customWidth="1"/>
    <col min="26" max="26" width="2.7109375" customWidth="1"/>
    <col min="27" max="27" width="5" bestFit="1" customWidth="1"/>
    <col min="28" max="28" width="9.5703125" bestFit="1" customWidth="1"/>
    <col min="29" max="29" width="9" bestFit="1" customWidth="1"/>
    <col min="30" max="30" width="7.42578125" bestFit="1" customWidth="1"/>
    <col min="31" max="31" width="2" bestFit="1" customWidth="1"/>
    <col min="32" max="32" width="5.42578125" bestFit="1" customWidth="1"/>
    <col min="33" max="33" width="5.85546875" bestFit="1" customWidth="1"/>
    <col min="34" max="34" width="7.7109375" bestFit="1" customWidth="1"/>
    <col min="35" max="35" width="2.7109375" customWidth="1"/>
    <col min="36" max="36" width="5" bestFit="1" customWidth="1"/>
    <col min="37" max="37" width="9.5703125" bestFit="1" customWidth="1"/>
    <col min="38" max="38" width="9" bestFit="1" customWidth="1"/>
    <col min="39" max="39" width="7.85546875" bestFit="1" customWidth="1"/>
    <col min="40" max="40" width="2" bestFit="1" customWidth="1"/>
    <col min="41" max="41" width="5.5703125" bestFit="1" customWidth="1"/>
    <col min="42" max="42" width="5.85546875" bestFit="1" customWidth="1"/>
    <col min="43" max="43" width="7.7109375" bestFit="1" customWidth="1"/>
    <col min="44" max="44" width="2.7109375" customWidth="1"/>
    <col min="45" max="45" width="5" bestFit="1" customWidth="1"/>
    <col min="46" max="46" width="9.5703125" bestFit="1" customWidth="1"/>
    <col min="47" max="47" width="9" bestFit="1" customWidth="1"/>
    <col min="48" max="48" width="7.85546875" bestFit="1" customWidth="1"/>
    <col min="49" max="49" width="2" bestFit="1" customWidth="1"/>
    <col min="50" max="50" width="5.5703125" bestFit="1" customWidth="1"/>
    <col min="51" max="51" width="5.85546875" bestFit="1" customWidth="1"/>
    <col min="52" max="52" width="7.7109375" bestFit="1" customWidth="1"/>
    <col min="53" max="53" width="2.7109375" customWidth="1"/>
    <col min="54" max="54" width="5" bestFit="1" customWidth="1"/>
    <col min="55" max="55" width="9.5703125" bestFit="1" customWidth="1"/>
    <col min="56" max="56" width="9" bestFit="1" customWidth="1"/>
    <col min="57" max="57" width="7.42578125" bestFit="1" customWidth="1"/>
    <col min="58" max="58" width="2" bestFit="1" customWidth="1"/>
    <col min="59" max="59" width="5.5703125" bestFit="1" customWidth="1"/>
    <col min="60" max="60" width="6" bestFit="1" customWidth="1"/>
    <col min="61" max="61" width="7.7109375" bestFit="1" customWidth="1"/>
    <col min="62" max="62" width="2.7109375" customWidth="1"/>
    <col min="63" max="63" width="5" bestFit="1" customWidth="1"/>
    <col min="64" max="64" width="9.5703125" bestFit="1" customWidth="1"/>
    <col min="65" max="65" width="9" bestFit="1" customWidth="1"/>
    <col min="66" max="66" width="7.42578125" bestFit="1" customWidth="1"/>
    <col min="67" max="67" width="2" bestFit="1" customWidth="1"/>
    <col min="68" max="68" width="5.5703125" bestFit="1" customWidth="1"/>
    <col min="69" max="69" width="5.85546875" bestFit="1" customWidth="1"/>
    <col min="70" max="70" width="7.7109375" bestFit="1" customWidth="1"/>
    <col min="71" max="71" width="2.7109375" customWidth="1"/>
    <col min="72" max="72" width="5" bestFit="1" customWidth="1"/>
    <col min="73" max="73" width="10" bestFit="1" customWidth="1"/>
    <col min="74" max="74" width="9" bestFit="1" customWidth="1"/>
    <col min="75" max="75" width="7.42578125" bestFit="1" customWidth="1"/>
    <col min="76" max="76" width="2" bestFit="1" customWidth="1"/>
    <col min="77" max="77" width="5.42578125" bestFit="1" customWidth="1"/>
    <col min="78" max="78" width="5.85546875" bestFit="1" customWidth="1"/>
    <col min="79" max="79" width="7.7109375" bestFit="1" customWidth="1"/>
    <col min="80" max="80" width="2.7109375" customWidth="1"/>
    <col min="81" max="81" width="5" bestFit="1" customWidth="1"/>
    <col min="82" max="82" width="9.5703125" bestFit="1" customWidth="1"/>
    <col min="83" max="83" width="9" bestFit="1" customWidth="1"/>
    <col min="84" max="84" width="7.42578125" bestFit="1" customWidth="1"/>
    <col min="85" max="85" width="2" bestFit="1" customWidth="1"/>
    <col min="86" max="86" width="5.5703125" bestFit="1" customWidth="1"/>
    <col min="87" max="87" width="5.85546875" bestFit="1" customWidth="1"/>
    <col min="88" max="88" width="7.7109375" bestFit="1" customWidth="1"/>
    <col min="89" max="89" width="2.7109375" customWidth="1"/>
    <col min="90" max="90" width="5" bestFit="1" customWidth="1"/>
    <col min="91" max="91" width="9.5703125" bestFit="1" customWidth="1"/>
    <col min="92" max="92" width="9" bestFit="1" customWidth="1"/>
    <col min="93" max="93" width="7.42578125" bestFit="1" customWidth="1"/>
    <col min="94" max="94" width="2" bestFit="1" customWidth="1"/>
    <col min="95" max="95" width="5.5703125" bestFit="1" customWidth="1"/>
    <col min="96" max="96" width="6" bestFit="1" customWidth="1"/>
    <col min="97" max="97" width="7.7109375" bestFit="1" customWidth="1"/>
    <col min="98" max="98" width="2.7109375" style="35" customWidth="1"/>
    <col min="99" max="99" width="5" bestFit="1" customWidth="1"/>
    <col min="100" max="100" width="9.5703125" customWidth="1"/>
    <col min="101" max="101" width="9" bestFit="1" customWidth="1"/>
    <col min="102" max="102" width="7.85546875" bestFit="1" customWidth="1"/>
    <col min="103" max="103" width="2" bestFit="1" customWidth="1"/>
    <col min="104" max="104" width="5.5703125" bestFit="1" customWidth="1"/>
    <col min="105" max="105" width="6" bestFit="1" customWidth="1"/>
    <col min="106" max="106" width="7.7109375" bestFit="1" customWidth="1"/>
    <col min="107" max="107" width="2.7109375" style="35" customWidth="1"/>
    <col min="108" max="108" width="5" bestFit="1" customWidth="1"/>
    <col min="109" max="109" width="9.5703125" customWidth="1"/>
    <col min="110" max="110" width="9" bestFit="1" customWidth="1"/>
    <col min="111" max="111" width="7.85546875" bestFit="1" customWidth="1"/>
    <col min="112" max="112" width="2" bestFit="1" customWidth="1"/>
    <col min="113" max="113" width="5.5703125" bestFit="1" customWidth="1"/>
    <col min="114" max="114" width="6" bestFit="1" customWidth="1"/>
    <col min="115" max="115" width="7.7109375" bestFit="1" customWidth="1"/>
    <col min="116" max="116" width="2.7109375" style="35" customWidth="1"/>
    <col min="117" max="117" width="5" bestFit="1" customWidth="1"/>
    <col min="118" max="118" width="9.5703125" bestFit="1" customWidth="1"/>
    <col min="119" max="119" width="9" bestFit="1" customWidth="1"/>
    <col min="120" max="120" width="7.42578125" bestFit="1" customWidth="1"/>
    <col min="121" max="121" width="2" bestFit="1" customWidth="1"/>
    <col min="122" max="122" width="5.42578125" bestFit="1" customWidth="1"/>
    <col min="123" max="123" width="5.85546875" bestFit="1" customWidth="1"/>
    <col min="124" max="124" width="7.7109375" bestFit="1" customWidth="1"/>
    <col min="125" max="125" width="2.7109375" style="35" customWidth="1"/>
    <col min="126" max="126" width="5" style="35" bestFit="1" customWidth="1"/>
    <col min="127" max="127" width="9.5703125" style="35" bestFit="1" customWidth="1"/>
    <col min="128" max="128" width="9" style="35" bestFit="1" customWidth="1"/>
    <col min="129" max="129" width="7.42578125" style="35" bestFit="1" customWidth="1"/>
    <col min="130" max="130" width="2" style="35" bestFit="1" customWidth="1"/>
    <col min="131" max="131" width="5.5703125" style="35" bestFit="1" customWidth="1"/>
    <col min="132" max="132" width="8.42578125" style="35" bestFit="1" customWidth="1"/>
    <col min="133" max="133" width="7.7109375" style="35" bestFit="1" customWidth="1"/>
    <col min="134" max="134" width="2.7109375" style="35" customWidth="1"/>
    <col min="135" max="135" width="5" style="35" bestFit="1" customWidth="1"/>
    <col min="136" max="136" width="10" style="35" bestFit="1" customWidth="1"/>
    <col min="137" max="137" width="9" style="35" bestFit="1" customWidth="1"/>
    <col min="138" max="138" width="7.42578125" style="35" bestFit="1" customWidth="1"/>
    <col min="139" max="139" width="2" style="35" bestFit="1" customWidth="1"/>
    <col min="140" max="140" width="5.42578125" style="35" bestFit="1" customWidth="1"/>
    <col min="141" max="141" width="5.85546875" style="35" bestFit="1" customWidth="1"/>
    <col min="142" max="142" width="7.7109375" style="35" bestFit="1" customWidth="1"/>
    <col min="143" max="143" width="2.7109375" style="35" customWidth="1"/>
    <col min="144" max="144" width="5" style="35" bestFit="1" customWidth="1"/>
    <col min="145" max="145" width="9.5703125" style="35" bestFit="1" customWidth="1"/>
    <col min="146" max="146" width="9" style="35" bestFit="1" customWidth="1"/>
    <col min="147" max="147" width="7.42578125" style="35" bestFit="1" customWidth="1"/>
    <col min="148" max="148" width="2" style="35" bestFit="1" customWidth="1"/>
    <col min="149" max="149" width="5.42578125" style="35" bestFit="1" customWidth="1"/>
    <col min="150" max="150" width="5.85546875" style="35" bestFit="1" customWidth="1"/>
    <col min="151" max="151" width="7.7109375" style="35" bestFit="1" customWidth="1"/>
    <col min="152" max="152" width="2.7109375" style="35" customWidth="1"/>
    <col min="153" max="153" width="5" style="35" bestFit="1" customWidth="1"/>
    <col min="154" max="154" width="9.5703125" style="35" bestFit="1" customWidth="1"/>
    <col min="155" max="155" width="9" style="35" bestFit="1" customWidth="1"/>
    <col min="156" max="156" width="7.42578125" style="35" bestFit="1" customWidth="1"/>
    <col min="157" max="157" width="2" style="35" bestFit="1" customWidth="1"/>
    <col min="158" max="158" width="5.42578125" style="35" bestFit="1" customWidth="1"/>
    <col min="159" max="159" width="5.85546875" style="35" bestFit="1" customWidth="1"/>
    <col min="160" max="160" width="7.7109375" style="35" bestFit="1" customWidth="1"/>
    <col min="161" max="161" width="2.7109375" style="35" customWidth="1"/>
    <col min="162" max="162" width="5" style="35" bestFit="1" customWidth="1"/>
    <col min="163" max="163" width="9.5703125" style="35" bestFit="1" customWidth="1"/>
    <col min="164" max="164" width="9" style="35" bestFit="1" customWidth="1"/>
    <col min="165" max="165" width="7.42578125" style="35" bestFit="1" customWidth="1"/>
    <col min="166" max="166" width="2" style="35" bestFit="1" customWidth="1"/>
    <col min="167" max="167" width="5.5703125" style="35" bestFit="1" customWidth="1"/>
    <col min="168" max="168" width="5.85546875" style="35" bestFit="1" customWidth="1"/>
    <col min="169" max="169" width="7.7109375" bestFit="1" customWidth="1"/>
    <col min="170" max="170" width="2.7109375" customWidth="1"/>
    <col min="171" max="171" width="5" bestFit="1" customWidth="1"/>
    <col min="172" max="172" width="9.5703125" bestFit="1" customWidth="1"/>
    <col min="173" max="173" width="9" bestFit="1" customWidth="1"/>
    <col min="174" max="174" width="7.42578125" bestFit="1" customWidth="1"/>
    <col min="175" max="175" width="2" bestFit="1" customWidth="1"/>
    <col min="176" max="176" width="5.42578125" bestFit="1" customWidth="1"/>
    <col min="177" max="177" width="5.85546875" bestFit="1" customWidth="1"/>
    <col min="178" max="178" width="7.7109375" bestFit="1" customWidth="1"/>
    <col min="179" max="179" width="2.7109375" customWidth="1"/>
    <col min="180" max="180" width="5" bestFit="1" customWidth="1"/>
    <col min="181" max="181" width="9.5703125" bestFit="1" customWidth="1"/>
    <col min="182" max="182" width="9" bestFit="1" customWidth="1"/>
    <col min="183" max="183" width="7.42578125" bestFit="1" customWidth="1"/>
    <col min="184" max="184" width="2" bestFit="1" customWidth="1"/>
    <col min="185" max="185" width="5.42578125" bestFit="1" customWidth="1"/>
    <col min="186" max="186" width="5.85546875" bestFit="1" customWidth="1"/>
    <col min="187" max="187" width="7.7109375" bestFit="1" customWidth="1"/>
    <col min="188" max="188" width="2.7109375" customWidth="1"/>
    <col min="189" max="189" width="5" bestFit="1" customWidth="1"/>
    <col min="190" max="190" width="9.5703125" bestFit="1" customWidth="1"/>
    <col min="191" max="191" width="9" bestFit="1" customWidth="1"/>
    <col min="192" max="192" width="7.42578125" bestFit="1" customWidth="1"/>
    <col min="193" max="193" width="2" bestFit="1" customWidth="1"/>
    <col min="194" max="194" width="5.42578125" bestFit="1" customWidth="1"/>
    <col min="195" max="195" width="5.85546875" bestFit="1" customWidth="1"/>
    <col min="196" max="196" width="7.7109375" bestFit="1" customWidth="1"/>
    <col min="197" max="197" width="2.7109375" customWidth="1"/>
    <col min="198" max="198" width="5" bestFit="1" customWidth="1"/>
    <col min="199" max="199" width="9.5703125" bestFit="1" customWidth="1"/>
    <col min="200" max="200" width="9" bestFit="1" customWidth="1"/>
    <col min="201" max="201" width="7.42578125" bestFit="1" customWidth="1"/>
    <col min="202" max="202" width="2" bestFit="1" customWidth="1"/>
    <col min="203" max="203" width="5.42578125" bestFit="1" customWidth="1"/>
    <col min="204" max="204" width="5.85546875" bestFit="1" customWidth="1"/>
    <col min="205" max="205" width="7.7109375" bestFit="1" customWidth="1"/>
    <col min="206" max="206" width="2.7109375" customWidth="1"/>
    <col min="207" max="207" width="5" bestFit="1" customWidth="1"/>
    <col min="208" max="208" width="9.5703125" bestFit="1" customWidth="1"/>
    <col min="209" max="209" width="9" bestFit="1" customWidth="1"/>
    <col min="210" max="210" width="7.42578125" bestFit="1" customWidth="1"/>
    <col min="211" max="211" width="2" bestFit="1" customWidth="1"/>
    <col min="212" max="212" width="5.42578125" bestFit="1" customWidth="1"/>
    <col min="213" max="213" width="5.85546875" bestFit="1" customWidth="1"/>
    <col min="214" max="214" width="7.7109375" bestFit="1" customWidth="1"/>
    <col min="215" max="215" width="2.7109375" customWidth="1"/>
    <col min="216" max="216" width="5" customWidth="1"/>
    <col min="217" max="217" width="9.5703125" bestFit="1" customWidth="1"/>
    <col min="218" max="218" width="9" bestFit="1" customWidth="1"/>
    <col min="219" max="219" width="7.85546875" bestFit="1" customWidth="1"/>
    <col min="220" max="220" width="2" bestFit="1" customWidth="1"/>
    <col min="221" max="221" width="5.5703125" bestFit="1" customWidth="1"/>
    <col min="222" max="222" width="5.85546875" bestFit="1" customWidth="1"/>
    <col min="223" max="223" width="7.7109375" bestFit="1" customWidth="1"/>
    <col min="224" max="224" width="2.7109375" customWidth="1"/>
    <col min="225" max="225" width="5" bestFit="1" customWidth="1"/>
    <col min="226" max="226" width="9.5703125" bestFit="1" customWidth="1"/>
    <col min="227" max="227" width="9" bestFit="1" customWidth="1"/>
    <col min="228" max="228" width="7.42578125" bestFit="1" customWidth="1"/>
    <col min="229" max="229" width="2" bestFit="1" customWidth="1"/>
    <col min="230" max="230" width="5.42578125" bestFit="1" customWidth="1"/>
    <col min="231" max="231" width="5.85546875" bestFit="1" customWidth="1"/>
    <col min="232" max="232" width="7.7109375" bestFit="1" customWidth="1"/>
    <col min="233" max="233" width="2.7109375" customWidth="1"/>
  </cols>
  <sheetData>
    <row r="1" spans="1:259" s="35" customFormat="1" ht="15.75" thickBot="1" x14ac:dyDescent="0.3"/>
    <row r="2" spans="1:259" ht="15.75" customHeight="1" x14ac:dyDescent="0.25">
      <c r="A2" s="35"/>
      <c r="B2" s="227" t="s">
        <v>48</v>
      </c>
      <c r="C2" s="235"/>
      <c r="D2" s="235"/>
      <c r="E2" s="231" t="s">
        <v>347</v>
      </c>
      <c r="F2" s="233"/>
      <c r="G2" s="233"/>
      <c r="H2" s="233"/>
      <c r="I2" s="203" t="str">
        <f>VLOOKUP(B2,College!$B$4:$H$1000,6, FALSE)</f>
        <v>1st</v>
      </c>
      <c r="J2" s="35"/>
      <c r="K2" s="35"/>
      <c r="L2" s="35"/>
      <c r="M2" s="35"/>
      <c r="N2" s="35"/>
      <c r="O2" s="35"/>
      <c r="P2" s="35"/>
      <c r="Q2" s="35"/>
      <c r="R2" s="227" t="s">
        <v>238</v>
      </c>
      <c r="S2" s="228"/>
      <c r="T2" s="228"/>
      <c r="U2" s="231" t="s">
        <v>347</v>
      </c>
      <c r="V2" s="231"/>
      <c r="W2" s="231"/>
      <c r="X2" s="231"/>
      <c r="Y2" s="203" t="str">
        <f>VLOOKUP(R2,College!$B$4:$H$1000,6, FALSE)</f>
        <v>56th</v>
      </c>
      <c r="Z2" s="35"/>
      <c r="AA2" s="227" t="s">
        <v>268</v>
      </c>
      <c r="AB2" s="228"/>
      <c r="AC2" s="228"/>
      <c r="AD2" s="231" t="s">
        <v>347</v>
      </c>
      <c r="AE2" s="231"/>
      <c r="AF2" s="231"/>
      <c r="AG2" s="231"/>
      <c r="AH2" s="203" t="str">
        <f>VLOOKUP(AA2,College!$B$4:$H$1000,6, FALSE)</f>
        <v>49th</v>
      </c>
      <c r="AI2" s="35"/>
      <c r="AJ2" s="227" t="s">
        <v>62</v>
      </c>
      <c r="AK2" s="235"/>
      <c r="AL2" s="235"/>
      <c r="AM2" s="231" t="s">
        <v>347</v>
      </c>
      <c r="AN2" s="233"/>
      <c r="AO2" s="233"/>
      <c r="AP2" s="233"/>
      <c r="AQ2" s="203" t="str">
        <f>VLOOKUP(AJ2,College!$B$4:$H$1000,6, FALSE)</f>
        <v>16th</v>
      </c>
      <c r="AR2" s="35"/>
      <c r="AS2" s="227" t="s">
        <v>42</v>
      </c>
      <c r="AT2" s="235"/>
      <c r="AU2" s="235"/>
      <c r="AV2" s="231" t="s">
        <v>347</v>
      </c>
      <c r="AW2" s="233"/>
      <c r="AX2" s="233"/>
      <c r="AY2" s="233"/>
      <c r="AZ2" s="203" t="str">
        <f>VLOOKUP(AS2,College!$B$4:$H$1000,6, FALSE)</f>
        <v>12th</v>
      </c>
      <c r="BA2" s="35"/>
      <c r="BB2" s="227" t="s">
        <v>40</v>
      </c>
      <c r="BC2" s="235"/>
      <c r="BD2" s="235"/>
      <c r="BE2" s="231" t="s">
        <v>347</v>
      </c>
      <c r="BF2" s="233"/>
      <c r="BG2" s="233"/>
      <c r="BH2" s="233"/>
      <c r="BI2" s="203" t="str">
        <f>VLOOKUP(BB2,College!$B$4:$H$1000,6, FALSE)</f>
        <v>6th</v>
      </c>
      <c r="BJ2" s="35"/>
      <c r="BK2" s="227" t="s">
        <v>56</v>
      </c>
      <c r="BL2" s="235"/>
      <c r="BM2" s="235"/>
      <c r="BN2" s="231" t="s">
        <v>347</v>
      </c>
      <c r="BO2" s="233"/>
      <c r="BP2" s="233"/>
      <c r="BQ2" s="233"/>
      <c r="BR2" s="203" t="str">
        <f>VLOOKUP(BK2,College!$B$4:$H$1000,6, FALSE)</f>
        <v>7th</v>
      </c>
      <c r="BS2" s="35"/>
      <c r="BT2" s="227" t="s">
        <v>253</v>
      </c>
      <c r="BU2" s="228"/>
      <c r="BV2" s="228"/>
      <c r="BW2" s="231" t="s">
        <v>347</v>
      </c>
      <c r="BX2" s="231"/>
      <c r="BY2" s="231"/>
      <c r="BZ2" s="231"/>
      <c r="CA2" s="203" t="str">
        <f>VLOOKUP(BT2,College!$B$4:$H$1000,6, FALSE)</f>
        <v>41st</v>
      </c>
      <c r="CB2" s="35"/>
      <c r="CC2" s="227" t="s">
        <v>48</v>
      </c>
      <c r="CD2" s="235"/>
      <c r="CE2" s="235"/>
      <c r="CF2" s="231" t="s">
        <v>347</v>
      </c>
      <c r="CG2" s="233"/>
      <c r="CH2" s="233"/>
      <c r="CI2" s="233"/>
      <c r="CJ2" s="203" t="str">
        <f>VLOOKUP(CC2,College!$B$4:$H$1000,6, FALSE)</f>
        <v>1st</v>
      </c>
      <c r="CK2" s="35"/>
      <c r="CL2" s="227" t="s">
        <v>46</v>
      </c>
      <c r="CM2" s="235"/>
      <c r="CN2" s="235"/>
      <c r="CO2" s="231" t="s">
        <v>347</v>
      </c>
      <c r="CP2" s="233"/>
      <c r="CQ2" s="233"/>
      <c r="CR2" s="233"/>
      <c r="CS2" s="203" t="str">
        <f>VLOOKUP(CL2,College!$B$4:$H$1000,6, FALSE)</f>
        <v>13th</v>
      </c>
      <c r="CU2" s="227" t="s">
        <v>39</v>
      </c>
      <c r="CV2" s="235"/>
      <c r="CW2" s="235"/>
      <c r="CX2" s="231" t="s">
        <v>347</v>
      </c>
      <c r="CY2" s="233"/>
      <c r="CZ2" s="233"/>
      <c r="DA2" s="233"/>
      <c r="DB2" s="203" t="str">
        <f>VLOOKUP(CU2,College!$B$4:$H$1000,6, FALSE)</f>
        <v>4th</v>
      </c>
      <c r="DD2" s="227" t="s">
        <v>224</v>
      </c>
      <c r="DE2" s="228"/>
      <c r="DF2" s="228"/>
      <c r="DG2" s="231" t="s">
        <v>347</v>
      </c>
      <c r="DH2" s="231"/>
      <c r="DI2" s="231"/>
      <c r="DJ2" s="231"/>
      <c r="DK2" s="203" t="str">
        <f>VLOOKUP(DD2,College!$B$4:$H$1000,6, FALSE)</f>
        <v>37th</v>
      </c>
      <c r="DM2" s="227" t="s">
        <v>240</v>
      </c>
      <c r="DN2" s="235"/>
      <c r="DO2" s="235"/>
      <c r="DP2" s="231" t="s">
        <v>347</v>
      </c>
      <c r="DQ2" s="233"/>
      <c r="DR2" s="233"/>
      <c r="DS2" s="233"/>
      <c r="DT2" s="203" t="str">
        <f>VLOOKUP(DM2,College!$B$4:$H$1000,6, FALSE)</f>
        <v>47th</v>
      </c>
      <c r="DV2" s="227" t="s">
        <v>194</v>
      </c>
      <c r="DW2" s="235"/>
      <c r="DX2" s="235"/>
      <c r="DY2" s="231" t="s">
        <v>347</v>
      </c>
      <c r="DZ2" s="233"/>
      <c r="EA2" s="233"/>
      <c r="EB2" s="233"/>
      <c r="EC2" s="203" t="str">
        <f>VLOOKUP(DV2,College!$B$4:$H$1000,6, FALSE)</f>
        <v>28th-T</v>
      </c>
      <c r="EE2" s="227" t="s">
        <v>198</v>
      </c>
      <c r="EF2" s="235"/>
      <c r="EG2" s="235"/>
      <c r="EH2" s="231" t="s">
        <v>347</v>
      </c>
      <c r="EI2" s="233"/>
      <c r="EJ2" s="233"/>
      <c r="EK2" s="233"/>
      <c r="EL2" s="203" t="str">
        <f>VLOOKUP(EE2,College!$B$4:$H$1000,6, FALSE)</f>
        <v>34th</v>
      </c>
      <c r="EN2" s="227" t="s">
        <v>344</v>
      </c>
      <c r="EO2" s="235"/>
      <c r="EP2" s="235"/>
      <c r="EQ2" s="231" t="s">
        <v>347</v>
      </c>
      <c r="ER2" s="233"/>
      <c r="ES2" s="233"/>
      <c r="ET2" s="233"/>
      <c r="EU2" s="203" t="str">
        <f>VLOOKUP(EN2,College!$B$4:$H$1000,6, FALSE)</f>
        <v>72nd</v>
      </c>
      <c r="EW2" s="227" t="s">
        <v>196</v>
      </c>
      <c r="EX2" s="235"/>
      <c r="EY2" s="235"/>
      <c r="EZ2" s="231" t="s">
        <v>347</v>
      </c>
      <c r="FA2" s="233"/>
      <c r="FB2" s="233"/>
      <c r="FC2" s="233"/>
      <c r="FD2" s="203" t="str">
        <f>VLOOKUP(EW2,College!$B$4:$H$1000,6, FALSE)</f>
        <v>28th-T</v>
      </c>
      <c r="FF2" s="227" t="s">
        <v>216</v>
      </c>
      <c r="FG2" s="228"/>
      <c r="FH2" s="228"/>
      <c r="FI2" s="231" t="s">
        <v>347</v>
      </c>
      <c r="FJ2" s="231"/>
      <c r="FK2" s="231"/>
      <c r="FL2" s="231"/>
      <c r="FM2" s="203" t="str">
        <f>VLOOKUP(FF2,College!$B$4:$H$1000,6, FALSE)</f>
        <v>38th</v>
      </c>
      <c r="FN2" s="35"/>
      <c r="FO2" s="227" t="s">
        <v>214</v>
      </c>
      <c r="FP2" s="235"/>
      <c r="FQ2" s="235"/>
      <c r="FR2" s="231" t="s">
        <v>347</v>
      </c>
      <c r="FS2" s="233"/>
      <c r="FT2" s="233"/>
      <c r="FU2" s="233"/>
      <c r="FV2" s="203" t="str">
        <f>VLOOKUP(FO2,College!$B$4:$H$1000,6, FALSE)</f>
        <v>33rd</v>
      </c>
      <c r="FW2" s="35"/>
      <c r="FX2" s="227" t="s">
        <v>333</v>
      </c>
      <c r="FY2" s="235"/>
      <c r="FZ2" s="235"/>
      <c r="GA2" s="231" t="s">
        <v>347</v>
      </c>
      <c r="GB2" s="233"/>
      <c r="GC2" s="233"/>
      <c r="GD2" s="233"/>
      <c r="GE2" s="203" t="str">
        <f>VLOOKUP(FX2,College!$B$4:$H$1000,6, FALSE)</f>
        <v>69th</v>
      </c>
      <c r="GF2" s="35"/>
      <c r="GG2" s="227" t="s">
        <v>213</v>
      </c>
      <c r="GH2" s="235"/>
      <c r="GI2" s="235"/>
      <c r="GJ2" s="231" t="s">
        <v>347</v>
      </c>
      <c r="GK2" s="233"/>
      <c r="GL2" s="233"/>
      <c r="GM2" s="233"/>
      <c r="GN2" s="203" t="str">
        <f>VLOOKUP(GG2,College!$B$4:$H$1000,6, FALSE)</f>
        <v>43rd</v>
      </c>
      <c r="GO2" s="35"/>
      <c r="GP2" s="227" t="s">
        <v>270</v>
      </c>
      <c r="GQ2" s="235"/>
      <c r="GR2" s="235"/>
      <c r="GS2" s="231" t="s">
        <v>347</v>
      </c>
      <c r="GT2" s="233"/>
      <c r="GU2" s="233"/>
      <c r="GV2" s="233"/>
      <c r="GW2" s="203" t="str">
        <f>VLOOKUP(GP2,College!$B$4:$H$1000,6, FALSE)</f>
        <v>51st</v>
      </c>
      <c r="GX2" s="35"/>
      <c r="GY2" s="227" t="s">
        <v>269</v>
      </c>
      <c r="GZ2" s="235"/>
      <c r="HA2" s="235"/>
      <c r="HB2" s="231" t="s">
        <v>347</v>
      </c>
      <c r="HC2" s="233"/>
      <c r="HD2" s="233"/>
      <c r="HE2" s="233"/>
      <c r="HF2" s="203" t="str">
        <f>VLOOKUP(GY2,College!$B$4:$H$1000,6, FALSE)</f>
        <v>48th</v>
      </c>
      <c r="HG2" s="35"/>
      <c r="HH2" s="227" t="s">
        <v>54</v>
      </c>
      <c r="HI2" s="235"/>
      <c r="HJ2" s="235"/>
      <c r="HK2" s="231" t="s">
        <v>347</v>
      </c>
      <c r="HL2" s="233"/>
      <c r="HM2" s="233"/>
      <c r="HN2" s="233"/>
      <c r="HO2" s="203" t="str">
        <f>VLOOKUP(HH2,College!$B$4:$H$1000,6, FALSE)</f>
        <v>17th</v>
      </c>
      <c r="HP2" s="35"/>
      <c r="HQ2" s="227" t="s">
        <v>239</v>
      </c>
      <c r="HR2" s="235"/>
      <c r="HS2" s="235"/>
      <c r="HT2" s="231" t="s">
        <v>347</v>
      </c>
      <c r="HU2" s="233"/>
      <c r="HV2" s="233"/>
      <c r="HW2" s="233"/>
      <c r="HX2" s="203" t="str">
        <f>VLOOKUP(HQ2,College!$B$4:$H$1000,6, FALSE)</f>
        <v>39th</v>
      </c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</row>
    <row r="3" spans="1:259" ht="15.75" customHeight="1" x14ac:dyDescent="0.25">
      <c r="A3" s="35"/>
      <c r="B3" s="236"/>
      <c r="C3" s="237"/>
      <c r="D3" s="237"/>
      <c r="E3" s="232" t="s">
        <v>348</v>
      </c>
      <c r="F3" s="234"/>
      <c r="G3" s="234"/>
      <c r="H3" s="234"/>
      <c r="I3" s="216" t="str">
        <f>VLOOKUP(B2,College!$B$4:$H$1000,7, FALSE)</f>
        <v>12th</v>
      </c>
      <c r="J3" s="35"/>
      <c r="K3" s="35"/>
      <c r="L3" s="35"/>
      <c r="M3" s="35"/>
      <c r="N3" s="35"/>
      <c r="O3" s="35"/>
      <c r="P3" s="35"/>
      <c r="Q3" s="35"/>
      <c r="R3" s="229"/>
      <c r="S3" s="230"/>
      <c r="T3" s="230"/>
      <c r="U3" s="232" t="s">
        <v>348</v>
      </c>
      <c r="V3" s="232"/>
      <c r="W3" s="232"/>
      <c r="X3" s="232"/>
      <c r="Y3" s="216" t="str">
        <f>VLOOKUP(R2,College!$B$4:$H$1000,7, FALSE)</f>
        <v>70th</v>
      </c>
      <c r="Z3" s="35"/>
      <c r="AA3" s="229"/>
      <c r="AB3" s="230"/>
      <c r="AC3" s="230"/>
      <c r="AD3" s="232" t="s">
        <v>348</v>
      </c>
      <c r="AE3" s="232"/>
      <c r="AF3" s="232"/>
      <c r="AG3" s="232"/>
      <c r="AH3" s="216" t="str">
        <f>VLOOKUP(AA2,College!$B$4:$H$1000,7, FALSE)</f>
        <v>45th</v>
      </c>
      <c r="AI3" s="35"/>
      <c r="AJ3" s="236"/>
      <c r="AK3" s="237"/>
      <c r="AL3" s="237"/>
      <c r="AM3" s="232" t="s">
        <v>348</v>
      </c>
      <c r="AN3" s="234"/>
      <c r="AO3" s="234"/>
      <c r="AP3" s="234"/>
      <c r="AQ3" s="216" t="str">
        <f>VLOOKUP(AJ2,College!$B$4:$H$1000,7, FALSE)</f>
        <v>43rd</v>
      </c>
      <c r="AR3" s="35"/>
      <c r="AS3" s="236"/>
      <c r="AT3" s="237"/>
      <c r="AU3" s="237"/>
      <c r="AV3" s="232" t="s">
        <v>348</v>
      </c>
      <c r="AW3" s="234"/>
      <c r="AX3" s="234"/>
      <c r="AY3" s="234"/>
      <c r="AZ3" s="216" t="str">
        <f>VLOOKUP(AS2,College!$B$4:$H$1000,7, FALSE)</f>
        <v>10th</v>
      </c>
      <c r="BA3" s="35"/>
      <c r="BB3" s="236"/>
      <c r="BC3" s="237"/>
      <c r="BD3" s="237"/>
      <c r="BE3" s="232" t="s">
        <v>348</v>
      </c>
      <c r="BF3" s="234"/>
      <c r="BG3" s="234"/>
      <c r="BH3" s="234"/>
      <c r="BI3" s="216" t="str">
        <f>VLOOKUP(BB2,College!$B$4:$H$1000,7, FALSE)</f>
        <v>30th</v>
      </c>
      <c r="BJ3" s="35"/>
      <c r="BK3" s="236"/>
      <c r="BL3" s="237"/>
      <c r="BM3" s="237"/>
      <c r="BN3" s="232" t="s">
        <v>348</v>
      </c>
      <c r="BO3" s="234"/>
      <c r="BP3" s="234"/>
      <c r="BQ3" s="234"/>
      <c r="BR3" s="216" t="str">
        <f>VLOOKUP(BK2,College!$B$4:$H$1000,7, FALSE)</f>
        <v>35th</v>
      </c>
      <c r="BS3" s="35"/>
      <c r="BT3" s="229"/>
      <c r="BU3" s="230"/>
      <c r="BV3" s="230"/>
      <c r="BW3" s="232" t="s">
        <v>348</v>
      </c>
      <c r="BX3" s="232"/>
      <c r="BY3" s="232"/>
      <c r="BZ3" s="232"/>
      <c r="CA3" s="216" t="str">
        <f>VLOOKUP(BT2,College!$B$4:$H$1000,7, FALSE)</f>
        <v>39th</v>
      </c>
      <c r="CB3" s="35"/>
      <c r="CC3" s="236"/>
      <c r="CD3" s="237"/>
      <c r="CE3" s="237"/>
      <c r="CF3" s="232" t="s">
        <v>348</v>
      </c>
      <c r="CG3" s="234"/>
      <c r="CH3" s="234"/>
      <c r="CI3" s="234"/>
      <c r="CJ3" s="216" t="str">
        <f>VLOOKUP(CC2,College!$B$4:$H$1000,7, FALSE)</f>
        <v>12th</v>
      </c>
      <c r="CK3" s="35"/>
      <c r="CL3" s="236"/>
      <c r="CM3" s="237"/>
      <c r="CN3" s="237"/>
      <c r="CO3" s="232" t="s">
        <v>348</v>
      </c>
      <c r="CP3" s="234"/>
      <c r="CQ3" s="234"/>
      <c r="CR3" s="234"/>
      <c r="CS3" s="216" t="str">
        <f>VLOOKUP(CL2,College!$B$4:$H$1000,7, FALSE)</f>
        <v>22nd</v>
      </c>
      <c r="CU3" s="236"/>
      <c r="CV3" s="237"/>
      <c r="CW3" s="237"/>
      <c r="CX3" s="232" t="s">
        <v>348</v>
      </c>
      <c r="CY3" s="234"/>
      <c r="CZ3" s="234"/>
      <c r="DA3" s="234"/>
      <c r="DB3" s="216" t="str">
        <f>VLOOKUP(CU2,College!$B$4:$H$1000,7, FALSE)</f>
        <v>24th</v>
      </c>
      <c r="DD3" s="229"/>
      <c r="DE3" s="230"/>
      <c r="DF3" s="230"/>
      <c r="DG3" s="232" t="s">
        <v>348</v>
      </c>
      <c r="DH3" s="232"/>
      <c r="DI3" s="232"/>
      <c r="DJ3" s="232"/>
      <c r="DK3" s="216" t="str">
        <f>VLOOKUP(DD2,College!$B$4:$H$1000,7, FALSE)</f>
        <v>7th</v>
      </c>
      <c r="DM3" s="236"/>
      <c r="DN3" s="237"/>
      <c r="DO3" s="237"/>
      <c r="DP3" s="232" t="s">
        <v>348</v>
      </c>
      <c r="DQ3" s="234"/>
      <c r="DR3" s="234"/>
      <c r="DS3" s="234"/>
      <c r="DT3" s="216" t="str">
        <f>VLOOKUP(DM2,College!$B$4:$H$1000,7, FALSE)</f>
        <v>1st</v>
      </c>
      <c r="DV3" s="236"/>
      <c r="DW3" s="237"/>
      <c r="DX3" s="237"/>
      <c r="DY3" s="232" t="s">
        <v>348</v>
      </c>
      <c r="DZ3" s="234"/>
      <c r="EA3" s="234"/>
      <c r="EB3" s="234"/>
      <c r="EC3" s="216" t="str">
        <f>VLOOKUP(DV2,College!$B$4:$H$1000,7, FALSE)</f>
        <v>37th</v>
      </c>
      <c r="EE3" s="236"/>
      <c r="EF3" s="237"/>
      <c r="EG3" s="237"/>
      <c r="EH3" s="232" t="s">
        <v>348</v>
      </c>
      <c r="EI3" s="234"/>
      <c r="EJ3" s="234"/>
      <c r="EK3" s="234"/>
      <c r="EL3" s="216" t="str">
        <f>VLOOKUP(EE2,College!$B$4:$H$1000,7, FALSE)</f>
        <v>41st</v>
      </c>
      <c r="EN3" s="236"/>
      <c r="EO3" s="237"/>
      <c r="EP3" s="237"/>
      <c r="EQ3" s="232" t="s">
        <v>348</v>
      </c>
      <c r="ER3" s="234"/>
      <c r="ES3" s="234"/>
      <c r="ET3" s="234"/>
      <c r="EU3" s="216" t="str">
        <f>VLOOKUP(EN2,College!$B$4:$H$1000,7, FALSE)</f>
        <v>71st</v>
      </c>
      <c r="EW3" s="236"/>
      <c r="EX3" s="237"/>
      <c r="EY3" s="237"/>
      <c r="EZ3" s="232" t="s">
        <v>348</v>
      </c>
      <c r="FA3" s="234"/>
      <c r="FB3" s="234"/>
      <c r="FC3" s="234"/>
      <c r="FD3" s="216" t="str">
        <f>VLOOKUP(EW2,College!$B$4:$H$1000,7, FALSE)</f>
        <v>36th</v>
      </c>
      <c r="FF3" s="229"/>
      <c r="FG3" s="230"/>
      <c r="FH3" s="230"/>
      <c r="FI3" s="232" t="s">
        <v>348</v>
      </c>
      <c r="FJ3" s="232"/>
      <c r="FK3" s="232"/>
      <c r="FL3" s="232"/>
      <c r="FM3" s="216" t="str">
        <f>VLOOKUP(FF2,College!$B$4:$H$1000,7, FALSE)</f>
        <v>59th</v>
      </c>
      <c r="FN3" s="35"/>
      <c r="FO3" s="236"/>
      <c r="FP3" s="237"/>
      <c r="FQ3" s="237"/>
      <c r="FR3" s="232" t="s">
        <v>348</v>
      </c>
      <c r="FS3" s="234"/>
      <c r="FT3" s="234"/>
      <c r="FU3" s="234"/>
      <c r="FV3" s="216" t="str">
        <f>VLOOKUP(FO2,College!$B$4:$H$1000,7, FALSE)</f>
        <v>20th</v>
      </c>
      <c r="FW3" s="35"/>
      <c r="FX3" s="236"/>
      <c r="FY3" s="237"/>
      <c r="FZ3" s="237"/>
      <c r="GA3" s="232" t="s">
        <v>348</v>
      </c>
      <c r="GB3" s="234"/>
      <c r="GC3" s="234"/>
      <c r="GD3" s="234"/>
      <c r="GE3" s="216" t="str">
        <f>VLOOKUP(FX2,College!$B$4:$H$1000,7, FALSE)</f>
        <v>51st</v>
      </c>
      <c r="GF3" s="35"/>
      <c r="GG3" s="236"/>
      <c r="GH3" s="237"/>
      <c r="GI3" s="237"/>
      <c r="GJ3" s="232" t="s">
        <v>348</v>
      </c>
      <c r="GK3" s="234"/>
      <c r="GL3" s="234"/>
      <c r="GM3" s="234"/>
      <c r="GN3" s="216" t="str">
        <f>VLOOKUP(GG2,College!$B$4:$H$1000,7, FALSE)</f>
        <v>48th</v>
      </c>
      <c r="GO3" s="35"/>
      <c r="GP3" s="236"/>
      <c r="GQ3" s="237"/>
      <c r="GR3" s="237"/>
      <c r="GS3" s="232" t="s">
        <v>348</v>
      </c>
      <c r="GT3" s="234"/>
      <c r="GU3" s="234"/>
      <c r="GV3" s="234"/>
      <c r="GW3" s="216" t="str">
        <f>VLOOKUP(GP2,College!$B$4:$H$1000,7, FALSE)</f>
        <v>66th</v>
      </c>
      <c r="GX3" s="35"/>
      <c r="GY3" s="236"/>
      <c r="GZ3" s="237"/>
      <c r="HA3" s="237"/>
      <c r="HB3" s="232" t="s">
        <v>348</v>
      </c>
      <c r="HC3" s="234"/>
      <c r="HD3" s="234"/>
      <c r="HE3" s="234"/>
      <c r="HF3" s="216" t="str">
        <f>VLOOKUP(GY2,College!$B$4:$H$1000,7, FALSE)</f>
        <v>38th</v>
      </c>
      <c r="HG3" s="35"/>
      <c r="HH3" s="236"/>
      <c r="HI3" s="237"/>
      <c r="HJ3" s="237"/>
      <c r="HK3" s="232" t="s">
        <v>348</v>
      </c>
      <c r="HL3" s="234"/>
      <c r="HM3" s="234"/>
      <c r="HN3" s="234"/>
      <c r="HO3" s="216" t="str">
        <f>VLOOKUP(HH2,College!$B$4:$H$1000,7, FALSE)</f>
        <v>6th</v>
      </c>
      <c r="HP3" s="35"/>
      <c r="HQ3" s="236"/>
      <c r="HR3" s="237"/>
      <c r="HS3" s="237"/>
      <c r="HT3" s="232" t="s">
        <v>348</v>
      </c>
      <c r="HU3" s="234"/>
      <c r="HV3" s="234"/>
      <c r="HW3" s="234"/>
      <c r="HX3" s="216" t="str">
        <f>VLOOKUP(HQ2,College!$B$4:$H$1000,7, FALSE)</f>
        <v>5th</v>
      </c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</row>
    <row r="4" spans="1:259" ht="16.5" thickBot="1" x14ac:dyDescent="0.3">
      <c r="A4" s="35"/>
      <c r="B4" s="217"/>
      <c r="C4" s="218" t="s">
        <v>346</v>
      </c>
      <c r="D4" s="219">
        <f>E4/G4</f>
        <v>0.49667149059334298</v>
      </c>
      <c r="E4" s="218">
        <f>VLOOKUP(B2,College!$B$4:$H$1000,2, FALSE)</f>
        <v>1716</v>
      </c>
      <c r="F4" s="220" t="s">
        <v>175</v>
      </c>
      <c r="G4" s="221">
        <f>VLOOKUP(B2,College!$B$4:$H$1000,3, FALSE)</f>
        <v>3455</v>
      </c>
      <c r="H4" s="222"/>
      <c r="I4" s="223"/>
      <c r="J4" s="35"/>
      <c r="K4" s="35"/>
      <c r="L4" s="35"/>
      <c r="M4" s="35"/>
      <c r="N4" s="35"/>
      <c r="O4" s="35"/>
      <c r="P4" s="35"/>
      <c r="Q4" s="35"/>
      <c r="R4" s="217"/>
      <c r="S4" s="218" t="s">
        <v>346</v>
      </c>
      <c r="T4" s="219">
        <f>U4/W4</f>
        <v>0.37995049504950495</v>
      </c>
      <c r="U4" s="218">
        <f>VLOOKUP(R2,College!$B$4:$H$1000,2, FALSE)</f>
        <v>153.5</v>
      </c>
      <c r="V4" s="220" t="s">
        <v>175</v>
      </c>
      <c r="W4" s="221">
        <f>VLOOKUP(R2,College!$B$4:$H$1000,3, FALSE)</f>
        <v>404</v>
      </c>
      <c r="X4" s="222"/>
      <c r="Y4" s="223"/>
      <c r="Z4" s="35"/>
      <c r="AA4" s="217"/>
      <c r="AB4" s="218" t="s">
        <v>346</v>
      </c>
      <c r="AC4" s="219">
        <f>AD4/AF4</f>
        <v>0.47741935483870968</v>
      </c>
      <c r="AD4" s="218">
        <f>VLOOKUP(AA2,College!$B$4:$H$1000,2, FALSE)</f>
        <v>222</v>
      </c>
      <c r="AE4" s="220" t="s">
        <v>175</v>
      </c>
      <c r="AF4" s="221">
        <f>VLOOKUP(AA2,College!$B$4:$H$1000,3, FALSE)</f>
        <v>465</v>
      </c>
      <c r="AG4" s="222"/>
      <c r="AH4" s="223"/>
      <c r="AI4" s="35"/>
      <c r="AJ4" s="217"/>
      <c r="AK4" s="218" t="s">
        <v>346</v>
      </c>
      <c r="AL4" s="219">
        <f>AM4/AO4</f>
        <v>0.47879924953095687</v>
      </c>
      <c r="AM4" s="218">
        <f>VLOOKUP(AJ2,College!$B$4:$H$1000,2, FALSE)</f>
        <v>1276</v>
      </c>
      <c r="AN4" s="220" t="s">
        <v>175</v>
      </c>
      <c r="AO4" s="221">
        <f>VLOOKUP(AJ2,College!$B$4:$H$1000,3, FALSE)</f>
        <v>2665</v>
      </c>
      <c r="AP4" s="222"/>
      <c r="AQ4" s="223"/>
      <c r="AR4" s="35"/>
      <c r="AS4" s="217"/>
      <c r="AT4" s="218" t="s">
        <v>346</v>
      </c>
      <c r="AU4" s="219">
        <f>AV4/AX4</f>
        <v>0.50090025207057975</v>
      </c>
      <c r="AV4" s="218">
        <f>VLOOKUP(AS2,College!$B$4:$H$1000,2, FALSE)</f>
        <v>1391</v>
      </c>
      <c r="AW4" s="220" t="s">
        <v>175</v>
      </c>
      <c r="AX4" s="221">
        <f>VLOOKUP(AS2,College!$B$4:$H$1000,3, FALSE)</f>
        <v>2777</v>
      </c>
      <c r="AY4" s="222"/>
      <c r="AZ4" s="223"/>
      <c r="BA4" s="35"/>
      <c r="BB4" s="217"/>
      <c r="BC4" s="218" t="s">
        <v>346</v>
      </c>
      <c r="BD4" s="219">
        <f>BE4/BG4</f>
        <v>0.48842257597684513</v>
      </c>
      <c r="BE4" s="218">
        <f>VLOOKUP(BB2,College!$B$4:$H$1000,2, FALSE)</f>
        <v>1687.5</v>
      </c>
      <c r="BF4" s="220" t="s">
        <v>175</v>
      </c>
      <c r="BG4" s="221">
        <f>VLOOKUP(BB2,College!$B$4:$H$1000,3, FALSE)</f>
        <v>3455</v>
      </c>
      <c r="BH4" s="222"/>
      <c r="BI4" s="223"/>
      <c r="BJ4" s="35"/>
      <c r="BK4" s="217"/>
      <c r="BL4" s="218" t="s">
        <v>346</v>
      </c>
      <c r="BM4" s="219">
        <f>BN4/BP4</f>
        <v>0.48292329956584662</v>
      </c>
      <c r="BN4" s="218">
        <f>VLOOKUP(BK2,College!$B$4:$H$1000,2, FALSE)</f>
        <v>1668.5</v>
      </c>
      <c r="BO4" s="220" t="s">
        <v>175</v>
      </c>
      <c r="BP4" s="221">
        <f>VLOOKUP(BK2,College!$B$4:$H$1000,3, FALSE)</f>
        <v>3455</v>
      </c>
      <c r="BQ4" s="222"/>
      <c r="BR4" s="223"/>
      <c r="BS4" s="35"/>
      <c r="BT4" s="217"/>
      <c r="BU4" s="218" t="s">
        <v>346</v>
      </c>
      <c r="BV4" s="219">
        <f>BW4/BY4</f>
        <v>0.48163265306122449</v>
      </c>
      <c r="BW4" s="218">
        <f>VLOOKUP(BT2,College!$B$4:$H$1000,2, FALSE)</f>
        <v>354</v>
      </c>
      <c r="BX4" s="220" t="s">
        <v>175</v>
      </c>
      <c r="BY4" s="221">
        <f>VLOOKUP(BT2,College!$B$4:$H$1000,3, FALSE)</f>
        <v>735</v>
      </c>
      <c r="BZ4" s="222"/>
      <c r="CA4" s="223"/>
      <c r="CB4" s="35"/>
      <c r="CC4" s="217"/>
      <c r="CD4" s="218" t="s">
        <v>346</v>
      </c>
      <c r="CE4" s="219">
        <f>CF4/CH4</f>
        <v>0.49667149059334298</v>
      </c>
      <c r="CF4" s="218">
        <f>VLOOKUP(CC2,College!$B$4:$H$1000,2, FALSE)</f>
        <v>1716</v>
      </c>
      <c r="CG4" s="220" t="s">
        <v>175</v>
      </c>
      <c r="CH4" s="221">
        <f>VLOOKUP(CC2,College!$B$4:$H$1000,3, FALSE)</f>
        <v>3455</v>
      </c>
      <c r="CI4" s="222"/>
      <c r="CJ4" s="223"/>
      <c r="CK4" s="35"/>
      <c r="CL4" s="217"/>
      <c r="CM4" s="218" t="s">
        <v>346</v>
      </c>
      <c r="CN4" s="219">
        <f>CO4/CQ4</f>
        <v>0.49129662522202489</v>
      </c>
      <c r="CO4" s="218">
        <f>VLOOKUP(CL2,College!$B$4:$H$1000,2, FALSE)</f>
        <v>1383</v>
      </c>
      <c r="CP4" s="220" t="s">
        <v>175</v>
      </c>
      <c r="CQ4" s="221">
        <f>VLOOKUP(CL2,College!$B$4:$H$1000,3, FALSE)</f>
        <v>2815</v>
      </c>
      <c r="CR4" s="222"/>
      <c r="CS4" s="223"/>
      <c r="CU4" s="217"/>
      <c r="CV4" s="218" t="s">
        <v>346</v>
      </c>
      <c r="CW4" s="219">
        <f>CX4/CZ4</f>
        <v>0.49044862518089727</v>
      </c>
      <c r="CX4" s="218">
        <f>VLOOKUP(CU2,College!$B$4:$H$1000,2, FALSE)</f>
        <v>1694.5</v>
      </c>
      <c r="CY4" s="220" t="s">
        <v>175</v>
      </c>
      <c r="CZ4" s="221">
        <f>VLOOKUP(CU2,College!$B$4:$H$1000,3, FALSE)</f>
        <v>3455</v>
      </c>
      <c r="DA4" s="222"/>
      <c r="DB4" s="223"/>
      <c r="DD4" s="217"/>
      <c r="DE4" s="218" t="s">
        <v>346</v>
      </c>
      <c r="DF4" s="219">
        <f>DG4/DI4</f>
        <v>0.50207253886010361</v>
      </c>
      <c r="DG4" s="218">
        <f>VLOOKUP(DD2,College!$B$4:$H$1000,2, FALSE)</f>
        <v>484.5</v>
      </c>
      <c r="DH4" s="220" t="s">
        <v>175</v>
      </c>
      <c r="DI4" s="221">
        <f>VLOOKUP(DD2,College!$B$4:$H$1000,3, FALSE)</f>
        <v>965</v>
      </c>
      <c r="DJ4" s="222"/>
      <c r="DK4" s="223"/>
      <c r="DM4" s="217"/>
      <c r="DN4" s="218" t="s">
        <v>346</v>
      </c>
      <c r="DO4" s="219">
        <f>DP4/DR4</f>
        <v>0.5268817204301075</v>
      </c>
      <c r="DP4" s="218">
        <f>VLOOKUP(DM2,College!$B$4:$H$1000,2, FALSE)</f>
        <v>245</v>
      </c>
      <c r="DQ4" s="220" t="s">
        <v>175</v>
      </c>
      <c r="DR4" s="221">
        <f>VLOOKUP(DM2,College!$B$4:$H$1000,3, FALSE)</f>
        <v>465</v>
      </c>
      <c r="DS4" s="222"/>
      <c r="DT4" s="223"/>
      <c r="DV4" s="217"/>
      <c r="DW4" s="218" t="s">
        <v>346</v>
      </c>
      <c r="DX4" s="219">
        <f>DY4/EA4</f>
        <v>0.4826568265682657</v>
      </c>
      <c r="DY4" s="218">
        <f>VLOOKUP(DV2,College!$B$4:$H$1000,2, FALSE)</f>
        <v>654</v>
      </c>
      <c r="DZ4" s="220" t="s">
        <v>175</v>
      </c>
      <c r="EA4" s="221">
        <f>VLOOKUP(DV2,College!$B$4:$H$1000,3, FALSE)</f>
        <v>1355</v>
      </c>
      <c r="EB4" s="222"/>
      <c r="EC4" s="223"/>
      <c r="EE4" s="217"/>
      <c r="EF4" s="218" t="s">
        <v>346</v>
      </c>
      <c r="EG4" s="219">
        <f>EH4/EJ4</f>
        <v>0.48005698005698005</v>
      </c>
      <c r="EH4" s="218">
        <f>VLOOKUP(EE2,College!$B$4:$H$1000,2, FALSE)</f>
        <v>505.5</v>
      </c>
      <c r="EI4" s="220" t="s">
        <v>175</v>
      </c>
      <c r="EJ4" s="221">
        <f>VLOOKUP(EE2,College!$B$4:$H$1000,3, FALSE)</f>
        <v>1053</v>
      </c>
      <c r="EK4" s="222"/>
      <c r="EL4" s="223"/>
      <c r="EN4" s="217"/>
      <c r="EO4" s="218" t="s">
        <v>346</v>
      </c>
      <c r="EP4" s="219">
        <f>EQ4/ES4</f>
        <v>0.35</v>
      </c>
      <c r="EQ4" s="218">
        <f>VLOOKUP(EN2,College!$B$4:$H$1000,2, FALSE)</f>
        <v>49</v>
      </c>
      <c r="ER4" s="220" t="s">
        <v>175</v>
      </c>
      <c r="ES4" s="221">
        <f>VLOOKUP(EN2,College!$B$4:$H$1000,3, FALSE)</f>
        <v>140</v>
      </c>
      <c r="ET4" s="222"/>
      <c r="EU4" s="223"/>
      <c r="EW4" s="217"/>
      <c r="EX4" s="218" t="s">
        <v>346</v>
      </c>
      <c r="EY4" s="219">
        <f>EZ4/FB4</f>
        <v>0.4826568265682657</v>
      </c>
      <c r="EZ4" s="218">
        <f>VLOOKUP(EW2,College!$B$4:$H$1000,2, FALSE)</f>
        <v>654</v>
      </c>
      <c r="FA4" s="220" t="s">
        <v>175</v>
      </c>
      <c r="FB4" s="221">
        <f>VLOOKUP(EW2,College!$B$4:$H$1000,3, FALSE)</f>
        <v>1355</v>
      </c>
      <c r="FC4" s="222"/>
      <c r="FD4" s="223"/>
      <c r="FF4" s="217"/>
      <c r="FG4" s="218" t="s">
        <v>346</v>
      </c>
      <c r="FH4" s="219">
        <f>FI4/FK4</f>
        <v>0.45023474178403755</v>
      </c>
      <c r="FI4" s="218">
        <f>VLOOKUP(FF2,College!$B$4:$H$1000,2, FALSE)</f>
        <v>479.5</v>
      </c>
      <c r="FJ4" s="220" t="s">
        <v>175</v>
      </c>
      <c r="FK4" s="221">
        <f>VLOOKUP(FF2,College!$B$4:$H$1000,3, FALSE)</f>
        <v>1065</v>
      </c>
      <c r="FL4" s="222"/>
      <c r="FM4" s="223"/>
      <c r="FN4" s="35"/>
      <c r="FO4" s="217"/>
      <c r="FP4" s="218" t="s">
        <v>346</v>
      </c>
      <c r="FQ4" s="219">
        <f>FR4/FT4</f>
        <v>0.49330143540669857</v>
      </c>
      <c r="FR4" s="218">
        <f>VLOOKUP(FO2,College!$B$4:$H$1000,2, FALSE)</f>
        <v>515.5</v>
      </c>
      <c r="FS4" s="220" t="s">
        <v>175</v>
      </c>
      <c r="FT4" s="221">
        <f>VLOOKUP(FO2,College!$B$4:$H$1000,3, FALSE)</f>
        <v>1045</v>
      </c>
      <c r="FU4" s="222"/>
      <c r="FV4" s="223"/>
      <c r="FW4" s="35"/>
      <c r="FX4" s="217"/>
      <c r="FY4" s="218" t="s">
        <v>346</v>
      </c>
      <c r="FZ4" s="219">
        <f>GA4/GC4</f>
        <v>0.46666666666666667</v>
      </c>
      <c r="GA4" s="218">
        <f>VLOOKUP(FX2,College!$B$4:$H$1000,2, FALSE)</f>
        <v>84</v>
      </c>
      <c r="GB4" s="220" t="s">
        <v>175</v>
      </c>
      <c r="GC4" s="221">
        <f>VLOOKUP(FX2,College!$B$4:$H$1000,3, FALSE)</f>
        <v>180</v>
      </c>
      <c r="GD4" s="222"/>
      <c r="GE4" s="223"/>
      <c r="GF4" s="35"/>
      <c r="GG4" s="217"/>
      <c r="GH4" s="218" t="s">
        <v>346</v>
      </c>
      <c r="GI4" s="219">
        <f>GJ4/GL4</f>
        <v>0.46879999999999999</v>
      </c>
      <c r="GJ4" s="218">
        <f>VLOOKUP(GG2,College!$B$4:$H$1000,2, FALSE)</f>
        <v>293</v>
      </c>
      <c r="GK4" s="220" t="s">
        <v>175</v>
      </c>
      <c r="GL4" s="221">
        <f>VLOOKUP(GG2,College!$B$4:$H$1000,3, FALSE)</f>
        <v>625</v>
      </c>
      <c r="GM4" s="222"/>
      <c r="GN4" s="223"/>
      <c r="GO4" s="35"/>
      <c r="GP4" s="217"/>
      <c r="GQ4" s="218" t="s">
        <v>346</v>
      </c>
      <c r="GR4" s="219">
        <f>GS4/GU4</f>
        <v>0.43225806451612903</v>
      </c>
      <c r="GS4" s="218">
        <f>VLOOKUP(GP2,College!$B$4:$H$1000,2, FALSE)</f>
        <v>201</v>
      </c>
      <c r="GT4" s="220" t="s">
        <v>175</v>
      </c>
      <c r="GU4" s="221">
        <f>VLOOKUP(GP2,College!$B$4:$H$1000,3, FALSE)</f>
        <v>465</v>
      </c>
      <c r="GV4" s="222"/>
      <c r="GW4" s="223"/>
      <c r="GX4" s="35"/>
      <c r="GY4" s="217"/>
      <c r="GZ4" s="218" t="s">
        <v>346</v>
      </c>
      <c r="HA4" s="219">
        <f>HB4/HD4</f>
        <v>0.48172043010752691</v>
      </c>
      <c r="HB4" s="218">
        <f>VLOOKUP(GY2,College!$B$4:$H$1000,2, FALSE)</f>
        <v>224</v>
      </c>
      <c r="HC4" s="220" t="s">
        <v>175</v>
      </c>
      <c r="HD4" s="221">
        <f>VLOOKUP(GY2,College!$B$4:$H$1000,3, FALSE)</f>
        <v>465</v>
      </c>
      <c r="HE4" s="222"/>
      <c r="HF4" s="223"/>
      <c r="HG4" s="35"/>
      <c r="HH4" s="217"/>
      <c r="HI4" s="218" t="s">
        <v>346</v>
      </c>
      <c r="HJ4" s="219">
        <f>HK4/HM4</f>
        <v>0.50277227722772277</v>
      </c>
      <c r="HK4" s="218">
        <f>VLOOKUP(HH2,College!$B$4:$H$1000,2, FALSE)</f>
        <v>1269.5</v>
      </c>
      <c r="HL4" s="220" t="s">
        <v>175</v>
      </c>
      <c r="HM4" s="221">
        <f>VLOOKUP(HH2,College!$B$4:$H$1000,3, FALSE)</f>
        <v>2525</v>
      </c>
      <c r="HN4" s="222"/>
      <c r="HO4" s="223"/>
      <c r="HP4" s="35"/>
      <c r="HQ4" s="217"/>
      <c r="HR4" s="218" t="s">
        <v>346</v>
      </c>
      <c r="HS4" s="219">
        <f>HT4/HV4</f>
        <v>0.50516129032258061</v>
      </c>
      <c r="HT4" s="218">
        <f>VLOOKUP(HQ2,College!$B$4:$H$1000,2, FALSE)</f>
        <v>391.5</v>
      </c>
      <c r="HU4" s="220" t="s">
        <v>175</v>
      </c>
      <c r="HV4" s="221">
        <f>VLOOKUP(HQ2,College!$B$4:$H$1000,3, FALSE)</f>
        <v>775</v>
      </c>
      <c r="HW4" s="222"/>
      <c r="HX4" s="223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</row>
    <row r="5" spans="1:259" x14ac:dyDescent="0.25">
      <c r="A5" s="35"/>
      <c r="B5" s="204" t="s">
        <v>163</v>
      </c>
      <c r="C5" s="205" t="s">
        <v>349</v>
      </c>
      <c r="D5" s="206" t="s">
        <v>3</v>
      </c>
      <c r="E5" s="205" t="s">
        <v>1</v>
      </c>
      <c r="F5" s="205" t="s">
        <v>175</v>
      </c>
      <c r="G5" s="205" t="s">
        <v>2</v>
      </c>
      <c r="H5" s="205" t="s">
        <v>350</v>
      </c>
      <c r="I5" s="207" t="s">
        <v>351</v>
      </c>
      <c r="J5" s="35"/>
      <c r="K5" s="35"/>
      <c r="L5" s="35"/>
      <c r="M5" s="35"/>
      <c r="N5" s="35"/>
      <c r="O5" s="35"/>
      <c r="P5" s="35"/>
      <c r="Q5" s="35"/>
      <c r="R5" s="204" t="s">
        <v>163</v>
      </c>
      <c r="S5" s="205" t="s">
        <v>349</v>
      </c>
      <c r="T5" s="206" t="s">
        <v>3</v>
      </c>
      <c r="U5" s="205" t="s">
        <v>1</v>
      </c>
      <c r="V5" s="205" t="s">
        <v>175</v>
      </c>
      <c r="W5" s="205" t="s">
        <v>2</v>
      </c>
      <c r="X5" s="205" t="s">
        <v>350</v>
      </c>
      <c r="Y5" s="207" t="s">
        <v>351</v>
      </c>
      <c r="Z5" s="35"/>
      <c r="AA5" s="204" t="s">
        <v>163</v>
      </c>
      <c r="AB5" s="205" t="s">
        <v>349</v>
      </c>
      <c r="AC5" s="206" t="s">
        <v>3</v>
      </c>
      <c r="AD5" s="205" t="s">
        <v>1</v>
      </c>
      <c r="AE5" s="205" t="s">
        <v>175</v>
      </c>
      <c r="AF5" s="205" t="s">
        <v>2</v>
      </c>
      <c r="AG5" s="205" t="s">
        <v>350</v>
      </c>
      <c r="AH5" s="207" t="s">
        <v>351</v>
      </c>
      <c r="AI5" s="35"/>
      <c r="AJ5" s="204" t="s">
        <v>163</v>
      </c>
      <c r="AK5" s="205" t="s">
        <v>349</v>
      </c>
      <c r="AL5" s="206" t="s">
        <v>3</v>
      </c>
      <c r="AM5" s="205" t="s">
        <v>1</v>
      </c>
      <c r="AN5" s="205" t="s">
        <v>175</v>
      </c>
      <c r="AO5" s="205" t="s">
        <v>2</v>
      </c>
      <c r="AP5" s="205" t="s">
        <v>350</v>
      </c>
      <c r="AQ5" s="207" t="s">
        <v>351</v>
      </c>
      <c r="AR5" s="35"/>
      <c r="AS5" s="204" t="s">
        <v>163</v>
      </c>
      <c r="AT5" s="205" t="s">
        <v>349</v>
      </c>
      <c r="AU5" s="206" t="s">
        <v>3</v>
      </c>
      <c r="AV5" s="205" t="s">
        <v>1</v>
      </c>
      <c r="AW5" s="205" t="s">
        <v>175</v>
      </c>
      <c r="AX5" s="205" t="s">
        <v>2</v>
      </c>
      <c r="AY5" s="205" t="s">
        <v>350</v>
      </c>
      <c r="AZ5" s="207" t="s">
        <v>351</v>
      </c>
      <c r="BA5" s="35"/>
      <c r="BB5" s="204" t="s">
        <v>163</v>
      </c>
      <c r="BC5" s="205" t="s">
        <v>349</v>
      </c>
      <c r="BD5" s="206" t="s">
        <v>3</v>
      </c>
      <c r="BE5" s="205" t="s">
        <v>1</v>
      </c>
      <c r="BF5" s="205" t="s">
        <v>175</v>
      </c>
      <c r="BG5" s="205" t="s">
        <v>2</v>
      </c>
      <c r="BH5" s="205" t="s">
        <v>350</v>
      </c>
      <c r="BI5" s="207" t="s">
        <v>351</v>
      </c>
      <c r="BJ5" s="35"/>
      <c r="BK5" s="204" t="s">
        <v>163</v>
      </c>
      <c r="BL5" s="205" t="s">
        <v>349</v>
      </c>
      <c r="BM5" s="206" t="s">
        <v>3</v>
      </c>
      <c r="BN5" s="205" t="s">
        <v>1</v>
      </c>
      <c r="BO5" s="205" t="s">
        <v>175</v>
      </c>
      <c r="BP5" s="205" t="s">
        <v>2</v>
      </c>
      <c r="BQ5" s="205" t="s">
        <v>350</v>
      </c>
      <c r="BR5" s="207" t="s">
        <v>351</v>
      </c>
      <c r="BS5" s="35"/>
      <c r="BT5" s="204" t="s">
        <v>163</v>
      </c>
      <c r="BU5" s="205" t="s">
        <v>349</v>
      </c>
      <c r="BV5" s="206" t="s">
        <v>3</v>
      </c>
      <c r="BW5" s="205" t="s">
        <v>1</v>
      </c>
      <c r="BX5" s="205" t="s">
        <v>175</v>
      </c>
      <c r="BY5" s="205" t="s">
        <v>2</v>
      </c>
      <c r="BZ5" s="205" t="s">
        <v>350</v>
      </c>
      <c r="CA5" s="207" t="s">
        <v>351</v>
      </c>
      <c r="CB5" s="35"/>
      <c r="CC5" s="204" t="s">
        <v>163</v>
      </c>
      <c r="CD5" s="205" t="s">
        <v>349</v>
      </c>
      <c r="CE5" s="206" t="s">
        <v>3</v>
      </c>
      <c r="CF5" s="205" t="s">
        <v>1</v>
      </c>
      <c r="CG5" s="205" t="s">
        <v>175</v>
      </c>
      <c r="CH5" s="205" t="s">
        <v>2</v>
      </c>
      <c r="CI5" s="205" t="s">
        <v>350</v>
      </c>
      <c r="CJ5" s="207" t="s">
        <v>351</v>
      </c>
      <c r="CK5" s="35"/>
      <c r="CL5" s="204" t="s">
        <v>163</v>
      </c>
      <c r="CM5" s="205" t="s">
        <v>349</v>
      </c>
      <c r="CN5" s="206" t="s">
        <v>3</v>
      </c>
      <c r="CO5" s="205" t="s">
        <v>1</v>
      </c>
      <c r="CP5" s="205" t="s">
        <v>175</v>
      </c>
      <c r="CQ5" s="205" t="s">
        <v>2</v>
      </c>
      <c r="CR5" s="205" t="s">
        <v>350</v>
      </c>
      <c r="CS5" s="207" t="s">
        <v>351</v>
      </c>
      <c r="CU5" s="204" t="s">
        <v>163</v>
      </c>
      <c r="CV5" s="205" t="s">
        <v>349</v>
      </c>
      <c r="CW5" s="206" t="s">
        <v>3</v>
      </c>
      <c r="CX5" s="205" t="s">
        <v>1</v>
      </c>
      <c r="CY5" s="205" t="s">
        <v>175</v>
      </c>
      <c r="CZ5" s="205" t="s">
        <v>2</v>
      </c>
      <c r="DA5" s="205" t="s">
        <v>350</v>
      </c>
      <c r="DB5" s="207" t="s">
        <v>351</v>
      </c>
      <c r="DD5" s="204" t="s">
        <v>163</v>
      </c>
      <c r="DE5" s="205" t="s">
        <v>349</v>
      </c>
      <c r="DF5" s="206" t="s">
        <v>3</v>
      </c>
      <c r="DG5" s="205" t="s">
        <v>1</v>
      </c>
      <c r="DH5" s="205" t="s">
        <v>175</v>
      </c>
      <c r="DI5" s="205" t="s">
        <v>2</v>
      </c>
      <c r="DJ5" s="205" t="s">
        <v>350</v>
      </c>
      <c r="DK5" s="207" t="s">
        <v>351</v>
      </c>
      <c r="DM5" s="204" t="s">
        <v>163</v>
      </c>
      <c r="DN5" s="205" t="s">
        <v>349</v>
      </c>
      <c r="DO5" s="206" t="s">
        <v>3</v>
      </c>
      <c r="DP5" s="205" t="s">
        <v>1</v>
      </c>
      <c r="DQ5" s="205" t="s">
        <v>175</v>
      </c>
      <c r="DR5" s="205" t="s">
        <v>2</v>
      </c>
      <c r="DS5" s="205" t="s">
        <v>350</v>
      </c>
      <c r="DT5" s="207" t="s">
        <v>351</v>
      </c>
      <c r="DV5" s="204" t="s">
        <v>163</v>
      </c>
      <c r="DW5" s="205" t="s">
        <v>349</v>
      </c>
      <c r="DX5" s="206" t="s">
        <v>3</v>
      </c>
      <c r="DY5" s="205" t="s">
        <v>1</v>
      </c>
      <c r="DZ5" s="205" t="s">
        <v>175</v>
      </c>
      <c r="EA5" s="205" t="s">
        <v>2</v>
      </c>
      <c r="EB5" s="205" t="s">
        <v>350</v>
      </c>
      <c r="EC5" s="207" t="s">
        <v>351</v>
      </c>
      <c r="EE5" s="204" t="s">
        <v>163</v>
      </c>
      <c r="EF5" s="205" t="s">
        <v>349</v>
      </c>
      <c r="EG5" s="206" t="s">
        <v>3</v>
      </c>
      <c r="EH5" s="205" t="s">
        <v>1</v>
      </c>
      <c r="EI5" s="205" t="s">
        <v>175</v>
      </c>
      <c r="EJ5" s="205" t="s">
        <v>2</v>
      </c>
      <c r="EK5" s="205" t="s">
        <v>350</v>
      </c>
      <c r="EL5" s="207" t="s">
        <v>351</v>
      </c>
      <c r="EN5" s="204" t="s">
        <v>163</v>
      </c>
      <c r="EO5" s="205" t="s">
        <v>349</v>
      </c>
      <c r="EP5" s="206" t="s">
        <v>3</v>
      </c>
      <c r="EQ5" s="205" t="s">
        <v>1</v>
      </c>
      <c r="ER5" s="205" t="s">
        <v>175</v>
      </c>
      <c r="ES5" s="205" t="s">
        <v>2</v>
      </c>
      <c r="ET5" s="205" t="s">
        <v>350</v>
      </c>
      <c r="EU5" s="207" t="s">
        <v>351</v>
      </c>
      <c r="EW5" s="204" t="s">
        <v>163</v>
      </c>
      <c r="EX5" s="205" t="s">
        <v>349</v>
      </c>
      <c r="EY5" s="206" t="s">
        <v>3</v>
      </c>
      <c r="EZ5" s="205" t="s">
        <v>1</v>
      </c>
      <c r="FA5" s="205" t="s">
        <v>175</v>
      </c>
      <c r="FB5" s="205" t="s">
        <v>2</v>
      </c>
      <c r="FC5" s="205" t="s">
        <v>350</v>
      </c>
      <c r="FD5" s="207" t="s">
        <v>351</v>
      </c>
      <c r="FF5" s="204" t="s">
        <v>163</v>
      </c>
      <c r="FG5" s="205" t="s">
        <v>349</v>
      </c>
      <c r="FH5" s="206" t="s">
        <v>3</v>
      </c>
      <c r="FI5" s="205" t="s">
        <v>1</v>
      </c>
      <c r="FJ5" s="205" t="s">
        <v>175</v>
      </c>
      <c r="FK5" s="205" t="s">
        <v>2</v>
      </c>
      <c r="FL5" s="205" t="s">
        <v>350</v>
      </c>
      <c r="FM5" s="207" t="s">
        <v>351</v>
      </c>
      <c r="FN5" s="35"/>
      <c r="FO5" s="204" t="s">
        <v>163</v>
      </c>
      <c r="FP5" s="205" t="s">
        <v>349</v>
      </c>
      <c r="FQ5" s="206" t="s">
        <v>3</v>
      </c>
      <c r="FR5" s="205" t="s">
        <v>1</v>
      </c>
      <c r="FS5" s="205" t="s">
        <v>175</v>
      </c>
      <c r="FT5" s="205" t="s">
        <v>2</v>
      </c>
      <c r="FU5" s="205" t="s">
        <v>350</v>
      </c>
      <c r="FV5" s="207" t="s">
        <v>351</v>
      </c>
      <c r="FW5" s="35"/>
      <c r="FX5" s="204" t="s">
        <v>163</v>
      </c>
      <c r="FY5" s="205" t="s">
        <v>349</v>
      </c>
      <c r="FZ5" s="206" t="s">
        <v>3</v>
      </c>
      <c r="GA5" s="205" t="s">
        <v>1</v>
      </c>
      <c r="GB5" s="205" t="s">
        <v>175</v>
      </c>
      <c r="GC5" s="205" t="s">
        <v>2</v>
      </c>
      <c r="GD5" s="205" t="s">
        <v>350</v>
      </c>
      <c r="GE5" s="207" t="s">
        <v>351</v>
      </c>
      <c r="GF5" s="35"/>
      <c r="GG5" s="204" t="s">
        <v>163</v>
      </c>
      <c r="GH5" s="205" t="s">
        <v>349</v>
      </c>
      <c r="GI5" s="206" t="s">
        <v>3</v>
      </c>
      <c r="GJ5" s="205" t="s">
        <v>1</v>
      </c>
      <c r="GK5" s="205" t="s">
        <v>175</v>
      </c>
      <c r="GL5" s="205" t="s">
        <v>2</v>
      </c>
      <c r="GM5" s="205" t="s">
        <v>350</v>
      </c>
      <c r="GN5" s="207" t="s">
        <v>351</v>
      </c>
      <c r="GO5" s="35"/>
      <c r="GP5" s="204" t="s">
        <v>163</v>
      </c>
      <c r="GQ5" s="205" t="s">
        <v>349</v>
      </c>
      <c r="GR5" s="206" t="s">
        <v>3</v>
      </c>
      <c r="GS5" s="205" t="s">
        <v>1</v>
      </c>
      <c r="GT5" s="205" t="s">
        <v>175</v>
      </c>
      <c r="GU5" s="205" t="s">
        <v>2</v>
      </c>
      <c r="GV5" s="205" t="s">
        <v>350</v>
      </c>
      <c r="GW5" s="207" t="s">
        <v>351</v>
      </c>
      <c r="GX5" s="35"/>
      <c r="GY5" s="204" t="s">
        <v>163</v>
      </c>
      <c r="GZ5" s="205" t="s">
        <v>349</v>
      </c>
      <c r="HA5" s="206" t="s">
        <v>3</v>
      </c>
      <c r="HB5" s="205" t="s">
        <v>1</v>
      </c>
      <c r="HC5" s="205" t="s">
        <v>175</v>
      </c>
      <c r="HD5" s="205" t="s">
        <v>2</v>
      </c>
      <c r="HE5" s="205" t="s">
        <v>350</v>
      </c>
      <c r="HF5" s="207" t="s">
        <v>351</v>
      </c>
      <c r="HG5" s="35"/>
      <c r="HH5" s="204" t="s">
        <v>163</v>
      </c>
      <c r="HI5" s="205" t="s">
        <v>349</v>
      </c>
      <c r="HJ5" s="206" t="s">
        <v>3</v>
      </c>
      <c r="HK5" s="205" t="s">
        <v>1</v>
      </c>
      <c r="HL5" s="205" t="s">
        <v>175</v>
      </c>
      <c r="HM5" s="205" t="s">
        <v>2</v>
      </c>
      <c r="HN5" s="205" t="s">
        <v>350</v>
      </c>
      <c r="HO5" s="207" t="s">
        <v>351</v>
      </c>
      <c r="HP5" s="35"/>
      <c r="HQ5" s="204" t="s">
        <v>163</v>
      </c>
      <c r="HR5" s="205" t="s">
        <v>349</v>
      </c>
      <c r="HS5" s="206" t="s">
        <v>3</v>
      </c>
      <c r="HT5" s="205" t="s">
        <v>1</v>
      </c>
      <c r="HU5" s="205" t="s">
        <v>175</v>
      </c>
      <c r="HV5" s="205" t="s">
        <v>2</v>
      </c>
      <c r="HW5" s="205" t="s">
        <v>350</v>
      </c>
      <c r="HX5" s="207" t="s">
        <v>351</v>
      </c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</row>
    <row r="6" spans="1:259" x14ac:dyDescent="0.25">
      <c r="A6" s="35"/>
      <c r="B6" s="208">
        <v>2026</v>
      </c>
      <c r="C6" s="75" t="str">
        <f>INDEX('2026'!$A$2:$A$92,MATCH(B2,'2026'!$B$2:$B$92,0))</f>
        <v>-</v>
      </c>
      <c r="D6" s="200">
        <f t="shared" ref="D6:D18" si="0">E6/G6</f>
        <v>0.46111111111111114</v>
      </c>
      <c r="E6" s="201">
        <f>VLOOKUP(B2,'2026'!$B$2:$F$92,2, FALSE)</f>
        <v>83</v>
      </c>
      <c r="F6" s="75" t="s">
        <v>175</v>
      </c>
      <c r="G6" s="202">
        <f>VLOOKUP(B2,'2026'!$B$2:$F$92,3, FALSE)</f>
        <v>180</v>
      </c>
      <c r="H6" s="75">
        <f>VLOOKUP(B2,'2026'!$B$2:$F$92,5, FALSE)</f>
        <v>9</v>
      </c>
      <c r="I6" s="209">
        <f>VLOOKUP(B2,'Weekly Wins'!$S$3:$T$100,2, FALSE)</f>
        <v>0</v>
      </c>
      <c r="J6" s="35"/>
      <c r="K6" s="35"/>
      <c r="L6" s="35"/>
      <c r="M6" s="35"/>
      <c r="N6" s="35"/>
      <c r="O6" s="35"/>
      <c r="P6" s="35"/>
      <c r="Q6" s="35"/>
      <c r="R6" s="208">
        <v>2026</v>
      </c>
      <c r="S6" s="75" t="str">
        <f>INDEX('2026'!$A$2:$A$92,MATCH(R2,'2026'!$B$2:$B$92,0))</f>
        <v>-</v>
      </c>
      <c r="T6" s="200">
        <f>U6/W6</f>
        <v>0.28928571428571431</v>
      </c>
      <c r="U6" s="201">
        <f>VLOOKUP(R2,'2026'!$B$2:$F$92,2, FALSE)</f>
        <v>40.5</v>
      </c>
      <c r="V6" s="75" t="s">
        <v>175</v>
      </c>
      <c r="W6" s="202">
        <f>VLOOKUP(R2,'2026'!$B$2:$F$92,3, FALSE)</f>
        <v>140</v>
      </c>
      <c r="X6" s="75">
        <f>VLOOKUP(R2,'2026'!$B$2:$F$92,5, FALSE)</f>
        <v>2</v>
      </c>
      <c r="Y6" s="209">
        <f>VLOOKUP(R2,'Weekly Wins'!$S$3:$T$100,2, FALSE)</f>
        <v>0</v>
      </c>
      <c r="Z6" s="35"/>
      <c r="AA6" s="208">
        <v>2026</v>
      </c>
      <c r="AB6" s="75" t="str">
        <f>INDEX('2026'!$A$2:$A$92,MATCH(AA2,'2026'!$B$2:$B$92,0))</f>
        <v>-</v>
      </c>
      <c r="AC6" s="200">
        <f>AD6/AF6</f>
        <v>0.51111111111111107</v>
      </c>
      <c r="AD6" s="201">
        <f>VLOOKUP(AA2,'2026'!$B$2:$F$92,2, FALSE)</f>
        <v>92</v>
      </c>
      <c r="AE6" s="75" t="s">
        <v>175</v>
      </c>
      <c r="AF6" s="202">
        <f>VLOOKUP(AA2,'2026'!$B$2:$F$92,3, FALSE)</f>
        <v>180</v>
      </c>
      <c r="AG6" s="75">
        <f>VLOOKUP(AA2,'2026'!$B$2:$F$92,5, FALSE)</f>
        <v>10</v>
      </c>
      <c r="AH6" s="209">
        <f>VLOOKUP(AA2,'Weekly Wins'!$S$3:$T$100,2, FALSE)</f>
        <v>0</v>
      </c>
      <c r="AI6" s="35"/>
      <c r="AJ6" s="208">
        <v>2026</v>
      </c>
      <c r="AK6" s="75" t="str">
        <f>INDEX('2026'!$A$2:$A$92,MATCH(AJ2,'2026'!$B$2:$B$92,0))</f>
        <v>-</v>
      </c>
      <c r="AL6" s="200">
        <f t="shared" ref="AL6:AL12" si="1">AM6/AO6</f>
        <v>0.49444444444444446</v>
      </c>
      <c r="AM6" s="201">
        <f>VLOOKUP(AJ2,'2026'!$B$2:$F$92,2, FALSE)</f>
        <v>89</v>
      </c>
      <c r="AN6" s="75" t="s">
        <v>175</v>
      </c>
      <c r="AO6" s="202">
        <f>VLOOKUP(AJ2,'2026'!$B$2:$F$92,3, FALSE)</f>
        <v>180</v>
      </c>
      <c r="AP6" s="75">
        <f>VLOOKUP(AJ2,'2026'!$B$2:$F$92,5, FALSE)</f>
        <v>9.5</v>
      </c>
      <c r="AQ6" s="209">
        <f>VLOOKUP(AJ2,'Weekly Wins'!$S$3:$T$100,2, FALSE)</f>
        <v>0</v>
      </c>
      <c r="AR6" s="35"/>
      <c r="AS6" s="208">
        <v>2026</v>
      </c>
      <c r="AT6" s="75" t="str">
        <f>INDEX('2026'!$A$2:$A$92,MATCH(AS2,'2026'!$B$2:$B$92,0))</f>
        <v>-</v>
      </c>
      <c r="AU6" s="200">
        <f t="shared" ref="AU6:AU15" si="2">AV6/AX6</f>
        <v>0.4777777777777778</v>
      </c>
      <c r="AV6" s="201">
        <f>VLOOKUP(AS2,'2026'!$B$2:$F$92,2, FALSE)</f>
        <v>86</v>
      </c>
      <c r="AW6" s="75" t="s">
        <v>175</v>
      </c>
      <c r="AX6" s="202">
        <f>VLOOKUP(AS2,'2026'!$B$2:$F$92,3, FALSE)</f>
        <v>180</v>
      </c>
      <c r="AY6" s="75">
        <f>VLOOKUP(AS2,'2026'!$B$2:$F$92,5, FALSE)</f>
        <v>9</v>
      </c>
      <c r="AZ6" s="209">
        <f>VLOOKUP(AS2,'Weekly Wins'!$S$3:$T$100,2, FALSE)</f>
        <v>0</v>
      </c>
      <c r="BA6" s="35"/>
      <c r="BB6" s="208">
        <v>2026</v>
      </c>
      <c r="BC6" s="75" t="str">
        <f>INDEX('2026'!$A$2:$A$92,MATCH(BB2,'2026'!$B$2:$B$92,0))</f>
        <v>-</v>
      </c>
      <c r="BD6" s="200">
        <f t="shared" ref="BD6:BD18" si="3">BE6/BG6</f>
        <v>0.45</v>
      </c>
      <c r="BE6" s="201">
        <f>VLOOKUP(BB2,'2026'!$B$2:$F$92,2, FALSE)</f>
        <v>81</v>
      </c>
      <c r="BF6" s="75" t="s">
        <v>175</v>
      </c>
      <c r="BG6" s="202">
        <f>VLOOKUP(BB2,'2026'!$B$2:$F$92,3, FALSE)</f>
        <v>180</v>
      </c>
      <c r="BH6" s="75">
        <f>VLOOKUP(BB2,'2026'!$B$2:$F$92,5, FALSE)</f>
        <v>7</v>
      </c>
      <c r="BI6" s="209">
        <f>VLOOKUP(BB2,'Weekly Wins'!$S$3:$T$100,2, FALSE)</f>
        <v>0</v>
      </c>
      <c r="BJ6" s="35"/>
      <c r="BK6" s="208">
        <v>2026</v>
      </c>
      <c r="BL6" s="75" t="str">
        <f>INDEX('2026'!$A$2:$A$92,MATCH(BK2,'2026'!$B$2:$B$92,0))</f>
        <v>-</v>
      </c>
      <c r="BM6" s="200">
        <f t="shared" ref="BM6:BM18" si="4">BN6/BP6</f>
        <v>0.47222222222222221</v>
      </c>
      <c r="BN6" s="201">
        <f>VLOOKUP(BK2,'2026'!$B$2:$F$92,2, FALSE)</f>
        <v>85</v>
      </c>
      <c r="BO6" s="75" t="s">
        <v>175</v>
      </c>
      <c r="BP6" s="202">
        <f>VLOOKUP(BK2,'2026'!$B$2:$F$92,3, FALSE)</f>
        <v>180</v>
      </c>
      <c r="BQ6" s="75">
        <f>VLOOKUP(BK2,'2026'!$B$2:$F$92,5, FALSE)</f>
        <v>9</v>
      </c>
      <c r="BR6" s="209">
        <f>VLOOKUP(BK2,'Weekly Wins'!$S$3:$T$100,2, FALSE)</f>
        <v>1</v>
      </c>
      <c r="BS6" s="35"/>
      <c r="BT6" s="208">
        <v>2026</v>
      </c>
      <c r="BU6" s="75" t="str">
        <f>INDEX('2026'!$A$2:$A$92,MATCH(BT2,'2026'!$B$2:$B$92,0))</f>
        <v>-</v>
      </c>
      <c r="BV6" s="200">
        <f>BW6/BY6</f>
        <v>0.45555555555555555</v>
      </c>
      <c r="BW6" s="201">
        <f>VLOOKUP(BT2,'2026'!$B$2:$F$92,2, FALSE)</f>
        <v>82</v>
      </c>
      <c r="BX6" s="75" t="s">
        <v>175</v>
      </c>
      <c r="BY6" s="202">
        <f>VLOOKUP(BT2,'2026'!$B$2:$F$92,3, FALSE)</f>
        <v>180</v>
      </c>
      <c r="BZ6" s="75">
        <f>VLOOKUP(BT2,'2026'!$B$2:$F$92,5, FALSE)</f>
        <v>11</v>
      </c>
      <c r="CA6" s="209">
        <f>VLOOKUP(BT2,'Weekly Wins'!$S$3:$T$100,2, FALSE)</f>
        <v>0</v>
      </c>
      <c r="CB6" s="35"/>
      <c r="CC6" s="208">
        <v>2026</v>
      </c>
      <c r="CD6" s="75" t="str">
        <f>INDEX('2026'!$A$2:$A$92,MATCH(CC2,'2026'!$B$2:$B$92,0))</f>
        <v>-</v>
      </c>
      <c r="CE6" s="200">
        <f t="shared" ref="CE6:CE18" si="5">CF6/CH6</f>
        <v>0.46111111111111114</v>
      </c>
      <c r="CF6" s="201">
        <f>VLOOKUP(CC2,'2026'!$B$2:$F$92,2, FALSE)</f>
        <v>83</v>
      </c>
      <c r="CG6" s="75" t="s">
        <v>175</v>
      </c>
      <c r="CH6" s="202">
        <f>VLOOKUP(CC2,'2026'!$B$2:$F$92,3, FALSE)</f>
        <v>180</v>
      </c>
      <c r="CI6" s="75">
        <f>VLOOKUP(CC2,'2026'!$B$2:$F$92,5, FALSE)</f>
        <v>9</v>
      </c>
      <c r="CJ6" s="209">
        <f>VLOOKUP(CC2,'Weekly Wins'!$S$3:$T$100,2, FALSE)</f>
        <v>0</v>
      </c>
      <c r="CK6" s="35"/>
      <c r="CL6" s="208">
        <v>2026</v>
      </c>
      <c r="CM6" s="75" t="str">
        <f>INDEX('2026'!$A$2:$A$92,MATCH(CL2,'2026'!$B$2:$B$92,0))</f>
        <v>-</v>
      </c>
      <c r="CN6" s="200">
        <f t="shared" ref="CN6:CN15" si="6">CO6/CQ6</f>
        <v>0.48333333333333334</v>
      </c>
      <c r="CO6" s="201">
        <f>VLOOKUP(CL2,'2026'!$B$2:$F$92,2, FALSE)</f>
        <v>87</v>
      </c>
      <c r="CP6" s="75" t="s">
        <v>175</v>
      </c>
      <c r="CQ6" s="202">
        <f>VLOOKUP(CL2,'2026'!$B$2:$F$92,3, FALSE)</f>
        <v>180</v>
      </c>
      <c r="CR6" s="75">
        <f>VLOOKUP(CL2,'2026'!$B$2:$F$92,5, FALSE)</f>
        <v>7.5</v>
      </c>
      <c r="CS6" s="209">
        <f>VLOOKUP(CL2,'Weekly Wins'!$S$3:$T$100,2, FALSE)</f>
        <v>0</v>
      </c>
      <c r="CU6" s="208">
        <v>2026</v>
      </c>
      <c r="CV6" s="75" t="str">
        <f>INDEX('2026'!$A$2:$A$92,MATCH(CU2,'2026'!$B$2:$B$92,0))</f>
        <v>-</v>
      </c>
      <c r="CW6" s="200">
        <f t="shared" ref="CW6:CW17" si="7">CX6/CZ6</f>
        <v>0.46111111111111114</v>
      </c>
      <c r="CX6" s="201">
        <f>VLOOKUP(CU2,'2026'!$B$2:$F$92,2, FALSE)</f>
        <v>83</v>
      </c>
      <c r="CY6" s="75" t="s">
        <v>175</v>
      </c>
      <c r="CZ6" s="202">
        <f>VLOOKUP(CU2,'2026'!$B$2:$F$92,3, FALSE)</f>
        <v>180</v>
      </c>
      <c r="DA6" s="75">
        <f>VLOOKUP(CU2,'2026'!$B$2:$F$92,5, FALSE)</f>
        <v>8</v>
      </c>
      <c r="DB6" s="209">
        <f>VLOOKUP(CU2,'Weekly Wins'!$S$3:$T$100,2, FALSE)</f>
        <v>0.5</v>
      </c>
      <c r="DD6" s="208">
        <v>2026</v>
      </c>
      <c r="DE6" s="75" t="str">
        <f>INDEX('2026'!$A$2:$A$92,MATCH(DD2,'2026'!$B$2:$B$92,0))</f>
        <v>-</v>
      </c>
      <c r="DF6" s="200">
        <f>DG6/DI6</f>
        <v>0.45</v>
      </c>
      <c r="DG6" s="201">
        <f>VLOOKUP(DD2,'2026'!$B$2:$F$92,2, FALSE)</f>
        <v>81</v>
      </c>
      <c r="DH6" s="75" t="s">
        <v>175</v>
      </c>
      <c r="DI6" s="202">
        <f>VLOOKUP(DD2,'2026'!$B$2:$F$92,3, FALSE)</f>
        <v>180</v>
      </c>
      <c r="DJ6" s="75">
        <f>VLOOKUP(DD2,'2026'!$B$2:$F$92,5, FALSE)</f>
        <v>9</v>
      </c>
      <c r="DK6" s="209">
        <f>VLOOKUP(DD2,'Weekly Wins'!$S$3:$T$100,2, FALSE)</f>
        <v>0</v>
      </c>
      <c r="DM6" s="208">
        <v>2026</v>
      </c>
      <c r="DN6" s="75" t="str">
        <f>INDEX('2026'!$A$2:$A$92,MATCH(DM2,'2026'!$B$2:$B$92,0))</f>
        <v>-</v>
      </c>
      <c r="DO6" s="200">
        <f>DP6/DR6</f>
        <v>0.52777777777777779</v>
      </c>
      <c r="DP6" s="201">
        <f>VLOOKUP(DM2,'2026'!$B$2:$F$92,2, FALSE)</f>
        <v>95</v>
      </c>
      <c r="DQ6" s="75" t="s">
        <v>175</v>
      </c>
      <c r="DR6" s="202">
        <f>VLOOKUP(DM2,'2026'!$B$2:$F$92,3, FALSE)</f>
        <v>180</v>
      </c>
      <c r="DS6" s="75">
        <f>VLOOKUP(DM2,'2026'!$B$2:$F$92,5, FALSE)</f>
        <v>6</v>
      </c>
      <c r="DT6" s="209">
        <f>VLOOKUP(DM2,'Weekly Wins'!$S$3:$T$100,2, FALSE)</f>
        <v>0.5</v>
      </c>
      <c r="DV6" s="208">
        <v>2026</v>
      </c>
      <c r="DW6" s="75" t="str">
        <f>INDEX('2026'!$A$2:$A$92,MATCH(DV2,'2026'!$B$2:$B$92,0))</f>
        <v>-</v>
      </c>
      <c r="DX6" s="200">
        <f t="shared" ref="DX6:DX10" si="8">DY6/EA6</f>
        <v>0.52777777777777779</v>
      </c>
      <c r="DY6" s="201">
        <f>VLOOKUP(DV2,'2026'!$B$2:$F$92,2, FALSE)</f>
        <v>95</v>
      </c>
      <c r="DZ6" s="75" t="s">
        <v>175</v>
      </c>
      <c r="EA6" s="202">
        <f>VLOOKUP(DV2,'2026'!$B$2:$F$92,3, FALSE)</f>
        <v>180</v>
      </c>
      <c r="EB6" s="75">
        <f>VLOOKUP(DV2,'2026'!$B$2:$F$92,5, FALSE)</f>
        <v>10</v>
      </c>
      <c r="EC6" s="209">
        <f>VLOOKUP(DV2,'Weekly Wins'!$S$3:$T$100,2, FALSE)</f>
        <v>0.14285714285714285</v>
      </c>
      <c r="EE6" s="208">
        <v>2026</v>
      </c>
      <c r="EF6" s="75" t="str">
        <f>INDEX('2026'!$A$2:$A$92,MATCH(EE2,'2026'!$B$2:$B$92,0))</f>
        <v>-</v>
      </c>
      <c r="EG6" s="200">
        <f t="shared" ref="EG6" si="9">EH6/EJ6</f>
        <v>0.45555555555555555</v>
      </c>
      <c r="EH6" s="201">
        <f>VLOOKUP(EE2,'2026'!$B$2:$F$92,2, FALSE)</f>
        <v>82</v>
      </c>
      <c r="EI6" s="75" t="s">
        <v>175</v>
      </c>
      <c r="EJ6" s="202">
        <f>VLOOKUP(EE2,'2026'!$B$2:$F$92,3, FALSE)</f>
        <v>180</v>
      </c>
      <c r="EK6" s="75">
        <f>VLOOKUP(EE2,'2026'!$B$2:$F$92,5, FALSE)</f>
        <v>8</v>
      </c>
      <c r="EL6" s="209">
        <f>VLOOKUP(EE2,'Weekly Wins'!$S$3:$T$100,2, FALSE)</f>
        <v>0</v>
      </c>
      <c r="EN6" s="208">
        <v>2026</v>
      </c>
      <c r="EO6" s="75" t="str">
        <f>INDEX('2026'!$A$2:$A$92,MATCH(EN2,'2026'!$B$2:$B$92,0))</f>
        <v>-</v>
      </c>
      <c r="EP6" s="200">
        <f t="shared" ref="EP6" si="10">EQ6/ES6</f>
        <v>0.35</v>
      </c>
      <c r="EQ6" s="201">
        <f>VLOOKUP(EN2,'2026'!$B$2:$F$92,2, FALSE)</f>
        <v>49</v>
      </c>
      <c r="ER6" s="75" t="s">
        <v>175</v>
      </c>
      <c r="ES6" s="202">
        <f>VLOOKUP(EN2,'2026'!$B$2:$F$92,3, FALSE)</f>
        <v>140</v>
      </c>
      <c r="ET6" s="75">
        <f>VLOOKUP(EN2,'2026'!$B$2:$F$92,5, FALSE)</f>
        <v>2</v>
      </c>
      <c r="EU6" s="209">
        <f>VLOOKUP(EN2,'Weekly Wins'!$S$3:$T$100,2, FALSE)</f>
        <v>0</v>
      </c>
      <c r="EW6" s="208">
        <v>2026</v>
      </c>
      <c r="EX6" s="75" t="str">
        <f>INDEX('2026'!$A$2:$A$92,MATCH(EW2,'2026'!$B$2:$B$92,0))</f>
        <v>-</v>
      </c>
      <c r="EY6" s="200">
        <f t="shared" ref="EY6:EY10" si="11">EZ6/FB6</f>
        <v>0.48333333333333334</v>
      </c>
      <c r="EZ6" s="201">
        <f>VLOOKUP(EW2,'2026'!$B$2:$F$92,2, FALSE)</f>
        <v>87</v>
      </c>
      <c r="FA6" s="75" t="s">
        <v>175</v>
      </c>
      <c r="FB6" s="202">
        <f>VLOOKUP(EW2,'2026'!$B$2:$F$92,3, FALSE)</f>
        <v>180</v>
      </c>
      <c r="FC6" s="75">
        <f>VLOOKUP(EW2,'2026'!$B$2:$F$92,5, FALSE)</f>
        <v>6.5</v>
      </c>
      <c r="FD6" s="209">
        <f>VLOOKUP(EW2,'Weekly Wins'!$S$3:$T$100,2, FALSE)</f>
        <v>0.14285714285714285</v>
      </c>
      <c r="FF6" s="208">
        <v>2026</v>
      </c>
      <c r="FG6" s="75" t="str">
        <f>INDEX('2026'!$A$2:$A$92,MATCH(FF2,'2026'!$B$2:$B$92,0))</f>
        <v>-</v>
      </c>
      <c r="FH6" s="200">
        <f t="shared" ref="FH6:FH9" si="12">FI6/FK6</f>
        <v>0.4777777777777778</v>
      </c>
      <c r="FI6" s="201">
        <f>VLOOKUP(FF2,'2026'!$B$2:$F$92,2, FALSE)</f>
        <v>86</v>
      </c>
      <c r="FJ6" s="75" t="s">
        <v>175</v>
      </c>
      <c r="FK6" s="202">
        <f>VLOOKUP(FF2,'2026'!$B$2:$F$92,3, FALSE)</f>
        <v>180</v>
      </c>
      <c r="FL6" s="75">
        <f>VLOOKUP(FF2,'2026'!$B$2:$F$92,5, FALSE)</f>
        <v>9.5</v>
      </c>
      <c r="FM6" s="209">
        <f>VLOOKUP(FF2,'Weekly Wins'!$S$3:$T$100,2, FALSE)</f>
        <v>0</v>
      </c>
      <c r="FN6" s="35"/>
      <c r="FO6" s="208">
        <v>2026</v>
      </c>
      <c r="FP6" s="75" t="str">
        <f>INDEX('2026'!$A$2:$A$92,MATCH(FO2,'2026'!$B$2:$B$92,0))</f>
        <v>-</v>
      </c>
      <c r="FQ6" s="200">
        <f t="shared" ref="FQ6:FQ9" si="13">FR6/FT6</f>
        <v>0.45624999999999999</v>
      </c>
      <c r="FR6" s="201">
        <f>VLOOKUP(FO2,'2026'!$B$2:$F$92,2, FALSE)</f>
        <v>73</v>
      </c>
      <c r="FS6" s="75" t="s">
        <v>175</v>
      </c>
      <c r="FT6" s="202">
        <f>VLOOKUP(FO2,'2026'!$B$2:$F$92,3, FALSE)</f>
        <v>160</v>
      </c>
      <c r="FU6" s="75">
        <f>VLOOKUP(FO2,'2026'!$B$2:$F$92,5, FALSE)</f>
        <v>5</v>
      </c>
      <c r="FV6" s="209">
        <f>VLOOKUP(FO2,'Weekly Wins'!$S$3:$T$100,2, FALSE)</f>
        <v>0</v>
      </c>
      <c r="FW6" s="35"/>
      <c r="FX6" s="208">
        <v>2026</v>
      </c>
      <c r="FY6" s="75" t="str">
        <f>INDEX('2026'!$A$2:$A$92,MATCH(FX2,'2026'!$B$2:$B$92,0))</f>
        <v>-</v>
      </c>
      <c r="FZ6" s="200">
        <f t="shared" ref="FZ6" si="14">GA6/GC6</f>
        <v>0.46666666666666667</v>
      </c>
      <c r="GA6" s="201">
        <f>VLOOKUP(FX2,'2026'!$B$2:$F$92,2, FALSE)</f>
        <v>84</v>
      </c>
      <c r="GB6" s="75" t="s">
        <v>175</v>
      </c>
      <c r="GC6" s="202">
        <f>VLOOKUP(FX2,'2026'!$B$2:$F$92,3, FALSE)</f>
        <v>180</v>
      </c>
      <c r="GD6" s="75">
        <f>VLOOKUP(FX2,'2026'!$B$2:$F$92,5, FALSE)</f>
        <v>7.5</v>
      </c>
      <c r="GE6" s="209">
        <f>VLOOKUP(FX2,'Weekly Wins'!$S$3:$T$100,2, FALSE)</f>
        <v>0</v>
      </c>
      <c r="GF6" s="35"/>
      <c r="GG6" s="208">
        <v>2026</v>
      </c>
      <c r="GH6" s="75" t="str">
        <f>INDEX('2026'!$A$2:$A$92,MATCH(GG2,'2026'!$B$2:$B$92,0))</f>
        <v>-</v>
      </c>
      <c r="GI6" s="200">
        <f t="shared" ref="GI6:GI7" si="15">GJ6/GL6</f>
        <v>0.50555555555555554</v>
      </c>
      <c r="GJ6" s="201">
        <f>VLOOKUP(GG2,'2026'!$B$2:$F$92,2, FALSE)</f>
        <v>91</v>
      </c>
      <c r="GK6" s="75" t="s">
        <v>175</v>
      </c>
      <c r="GL6" s="202">
        <f>VLOOKUP(GG2,'2026'!$B$2:$F$92,3, FALSE)</f>
        <v>180</v>
      </c>
      <c r="GM6" s="75">
        <f>VLOOKUP(GG2,'2026'!$B$2:$F$92,5, FALSE)</f>
        <v>7.5</v>
      </c>
      <c r="GN6" s="209">
        <f>VLOOKUP(GG2,'Weekly Wins'!$S$3:$T$100,2, FALSE)</f>
        <v>1</v>
      </c>
      <c r="GO6" s="35"/>
      <c r="GP6" s="208">
        <v>2026</v>
      </c>
      <c r="GQ6" s="75" t="str">
        <f>INDEX('2026'!$A$2:$A$92,MATCH(GP2,'2026'!$B$2:$B$92,0))</f>
        <v>-</v>
      </c>
      <c r="GR6" s="200">
        <f t="shared" ref="GR6:GR7" si="16">GS6/GU6</f>
        <v>0.47222222222222221</v>
      </c>
      <c r="GS6" s="201">
        <f>VLOOKUP(GP2,'2026'!$B$2:$F$92,2, FALSE)</f>
        <v>85</v>
      </c>
      <c r="GT6" s="75" t="s">
        <v>175</v>
      </c>
      <c r="GU6" s="202">
        <f>VLOOKUP(GP2,'2026'!$B$2:$F$92,3, FALSE)</f>
        <v>180</v>
      </c>
      <c r="GV6" s="75">
        <f>VLOOKUP(GP2,'2026'!$B$2:$F$92,5, FALSE)</f>
        <v>5</v>
      </c>
      <c r="GW6" s="209">
        <f>VLOOKUP(GP2,'Weekly Wins'!$S$3:$T$100,2, FALSE)</f>
        <v>0</v>
      </c>
      <c r="GX6" s="35"/>
      <c r="GY6" s="208">
        <v>2026</v>
      </c>
      <c r="GZ6" s="75" t="str">
        <f>INDEX('2026'!$A$2:$A$92,MATCH(GY2,'2026'!$B$2:$B$92,0))</f>
        <v>-</v>
      </c>
      <c r="HA6" s="200">
        <f t="shared" ref="HA6:HA7" si="17">HB6/HD6</f>
        <v>0.53888888888888886</v>
      </c>
      <c r="HB6" s="201">
        <f>VLOOKUP(GY2,'2026'!$B$2:$F$92,2, FALSE)</f>
        <v>97</v>
      </c>
      <c r="HC6" s="75" t="s">
        <v>175</v>
      </c>
      <c r="HD6" s="202">
        <f>VLOOKUP(GY2,'2026'!$B$2:$F$92,3, FALSE)</f>
        <v>180</v>
      </c>
      <c r="HE6" s="75">
        <f>VLOOKUP(GY2,'2026'!$B$2:$F$92,5, FALSE)</f>
        <v>9</v>
      </c>
      <c r="HF6" s="209">
        <f>VLOOKUP(GY2,'Weekly Wins'!$S$3:$T$100,2, FALSE)</f>
        <v>1</v>
      </c>
      <c r="HG6" s="35"/>
      <c r="HH6" s="208">
        <v>2026</v>
      </c>
      <c r="HI6" s="75" t="str">
        <f>INDEX('2026'!$A$2:$A$92,MATCH(HH2,'2026'!$B$2:$B$92,0))</f>
        <v>-</v>
      </c>
      <c r="HJ6" s="200">
        <f t="shared" ref="HJ6:HJ13" si="18">HK6/HM6</f>
        <v>0.51666666666666672</v>
      </c>
      <c r="HK6" s="201">
        <f>VLOOKUP(HH2,'2026'!$B$2:$F$92,2, FALSE)</f>
        <v>93</v>
      </c>
      <c r="HL6" s="75" t="s">
        <v>175</v>
      </c>
      <c r="HM6" s="202">
        <f>VLOOKUP(HH2,'2026'!$B$2:$F$92,3, FALSE)</f>
        <v>180</v>
      </c>
      <c r="HN6" s="75">
        <f>VLOOKUP(HH2,'2026'!$B$2:$F$92,5, FALSE)</f>
        <v>8</v>
      </c>
      <c r="HO6" s="209">
        <f>VLOOKUP(HH2,'Weekly Wins'!$S$3:$T$100,2, FALSE)</f>
        <v>0</v>
      </c>
      <c r="HP6" s="35"/>
      <c r="HQ6" s="208">
        <v>2026</v>
      </c>
      <c r="HR6" s="75" t="str">
        <f>INDEX('2026'!$A$2:$A$92,MATCH(HQ2,'2026'!$B$2:$B$92,0))</f>
        <v>-</v>
      </c>
      <c r="HS6" s="200">
        <f t="shared" ref="HS6:HS8" si="19">HT6/HV6</f>
        <v>0.46666666666666667</v>
      </c>
      <c r="HT6" s="201">
        <f>VLOOKUP(HQ2,'2026'!$B$2:$F$92,2, FALSE)</f>
        <v>84</v>
      </c>
      <c r="HU6" s="75" t="s">
        <v>175</v>
      </c>
      <c r="HV6" s="202">
        <f>VLOOKUP(HQ2,'2026'!$B$2:$F$92,3, FALSE)</f>
        <v>180</v>
      </c>
      <c r="HW6" s="75">
        <f>VLOOKUP(HQ2,'2026'!$B$2:$F$92,5, FALSE)</f>
        <v>8.5</v>
      </c>
      <c r="HX6" s="209">
        <f>VLOOKUP(HQ2,'Weekly Wins'!$S$3:$T$100,2, FALSE)</f>
        <v>0.14285714285714285</v>
      </c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</row>
    <row r="7" spans="1:259" ht="15.75" thickBot="1" x14ac:dyDescent="0.3">
      <c r="A7" s="35"/>
      <c r="B7" s="208">
        <v>2025</v>
      </c>
      <c r="C7" s="75" t="str">
        <f>INDEX('2025'!$A$2:$A$100,MATCH(B2,'2025'!$B$2:$B$100,0))</f>
        <v>15th</v>
      </c>
      <c r="D7" s="200">
        <f t="shared" si="0"/>
        <v>0.48421052631578948</v>
      </c>
      <c r="E7" s="201">
        <f>VLOOKUP(B2,'2025'!$B$2:$F$100,2, FALSE)</f>
        <v>138</v>
      </c>
      <c r="F7" s="75" t="s">
        <v>175</v>
      </c>
      <c r="G7" s="202">
        <f>VLOOKUP(B2,'2025'!$B$2:$F$100,3, FALSE)</f>
        <v>285</v>
      </c>
      <c r="H7" s="75">
        <f>VLOOKUP(B2,'2025'!$B$2:$F$100,5, FALSE)</f>
        <v>21</v>
      </c>
      <c r="I7" s="209">
        <f>VLOOKUP(B2,'Weekly Wins'!$V$3:$W$100,2, FALSE)</f>
        <v>0.2</v>
      </c>
      <c r="J7" s="35"/>
      <c r="K7" s="35"/>
      <c r="L7" s="35"/>
      <c r="M7" s="35"/>
      <c r="N7" s="35"/>
      <c r="O7" s="35"/>
      <c r="P7" s="35"/>
      <c r="Q7" s="35"/>
      <c r="R7" s="208">
        <v>2024</v>
      </c>
      <c r="S7" s="75" t="str">
        <f>INDEX('2024'!$A$2:$A$100,MATCH(R2,'2024'!$B$2:$B$100,0))</f>
        <v>37th/3rd*</v>
      </c>
      <c r="T7" s="200">
        <f>U7/W7</f>
        <v>0.42803030303030304</v>
      </c>
      <c r="U7" s="201">
        <f>VLOOKUP(R2,'2024'!$B$2:$F$100,2, FALSE)</f>
        <v>113</v>
      </c>
      <c r="V7" s="75" t="s">
        <v>175</v>
      </c>
      <c r="W7" s="202">
        <f>VLOOKUP(R2,'2024'!$B$2:$F$100,3, FALSE)</f>
        <v>264</v>
      </c>
      <c r="X7" s="75">
        <f>VLOOKUP(R2,'2024'!$B$2:$F$100,5, FALSE)</f>
        <v>10</v>
      </c>
      <c r="Y7" s="209">
        <f>VLOOKUP(R2,'Weekly Wins'!$Y$3:$Z$100,2, FALSE)</f>
        <v>0</v>
      </c>
      <c r="Z7" s="35"/>
      <c r="AA7" s="208">
        <v>2025</v>
      </c>
      <c r="AB7" s="75" t="str">
        <f>INDEX('2025'!$A$2:$A$100,MATCH(AA2,'2025'!$B$2:$B$100,0))</f>
        <v>27th</v>
      </c>
      <c r="AC7" s="200">
        <f>AD7/AF7</f>
        <v>0.45614035087719296</v>
      </c>
      <c r="AD7" s="201">
        <f>VLOOKUP(AA2,'2025'!$B$2:$F$100,2, FALSE)</f>
        <v>130</v>
      </c>
      <c r="AE7" s="75" t="s">
        <v>175</v>
      </c>
      <c r="AF7" s="202">
        <f>VLOOKUP(AA2,'2025'!$B$2:$F$100,3, FALSE)</f>
        <v>285</v>
      </c>
      <c r="AG7" s="75">
        <f>VLOOKUP(AA2,'2025'!$B$2:$F$100,5, FALSE)</f>
        <v>13.5</v>
      </c>
      <c r="AH7" s="209">
        <f>VLOOKUP(AA2,'Weekly Wins'!$V$3:$W$100,2, FALSE)</f>
        <v>0</v>
      </c>
      <c r="AI7" s="35"/>
      <c r="AJ7" s="208">
        <v>2025</v>
      </c>
      <c r="AK7" s="75" t="str">
        <f>INDEX('2025'!$A$2:$A$100,MATCH(AJ2,'2025'!$B$2:$B$100,0))</f>
        <v>4th</v>
      </c>
      <c r="AL7" s="200">
        <f t="shared" si="1"/>
        <v>0.51929824561403504</v>
      </c>
      <c r="AM7" s="201">
        <f>VLOOKUP(AJ2,'2025'!$B$2:$F$100,2, FALSE)</f>
        <v>148</v>
      </c>
      <c r="AN7" s="75" t="s">
        <v>175</v>
      </c>
      <c r="AO7" s="202">
        <f>VLOOKUP(AJ2,'2025'!$B$2:$F$100,3, FALSE)</f>
        <v>285</v>
      </c>
      <c r="AP7" s="75">
        <f>VLOOKUP(AJ2,'2025'!$B$2:$F$100,5, FALSE)</f>
        <v>15</v>
      </c>
      <c r="AQ7" s="209">
        <f>VLOOKUP(AJ2,'Weekly Wins'!$V$3:$W$100,2, FALSE)</f>
        <v>1</v>
      </c>
      <c r="AR7" s="35"/>
      <c r="AS7" s="208">
        <v>2025</v>
      </c>
      <c r="AT7" s="75" t="str">
        <f>INDEX('2025'!$A$2:$A$100,MATCH(AS2,'2025'!$B$2:$B$100,0))</f>
        <v>18th</v>
      </c>
      <c r="AU7" s="200">
        <f t="shared" si="2"/>
        <v>0.47368421052631576</v>
      </c>
      <c r="AV7" s="201">
        <f>VLOOKUP(AS2,'2025'!$B$2:$F$100,2, FALSE)</f>
        <v>135</v>
      </c>
      <c r="AW7" s="75" t="s">
        <v>175</v>
      </c>
      <c r="AX7" s="202">
        <f>VLOOKUP(AS2,'2025'!$B$2:$F$100,3, FALSE)</f>
        <v>285</v>
      </c>
      <c r="AY7" s="75">
        <f>VLOOKUP(AS2,'2025'!$B$2:$F$100,5, FALSE)</f>
        <v>18</v>
      </c>
      <c r="AZ7" s="209">
        <f>VLOOKUP(AS2,'Weekly Wins'!$V$3:$W$100,2, FALSE)</f>
        <v>0</v>
      </c>
      <c r="BA7" s="35"/>
      <c r="BB7" s="208">
        <v>2025</v>
      </c>
      <c r="BC7" s="75" t="str">
        <f>INDEX('2025'!$A$2:$A$100,MATCH(BB2,'2025'!$B$2:$B$100,0))</f>
        <v>7th</v>
      </c>
      <c r="BD7" s="200">
        <f t="shared" si="3"/>
        <v>0.50877192982456143</v>
      </c>
      <c r="BE7" s="201">
        <f>VLOOKUP(BB2,'2025'!$B$2:$F$100,2, FALSE)</f>
        <v>145</v>
      </c>
      <c r="BF7" s="75" t="s">
        <v>175</v>
      </c>
      <c r="BG7" s="202">
        <f>VLOOKUP(BB2,'2025'!$B$2:$F$100,3, FALSE)</f>
        <v>285</v>
      </c>
      <c r="BH7" s="75">
        <f>VLOOKUP(BB2,'2025'!$B$2:$F$100,5, FALSE)</f>
        <v>19</v>
      </c>
      <c r="BI7" s="209">
        <f>VLOOKUP(BB2,'Weekly Wins'!$V$3:$W$100,2, FALSE)</f>
        <v>1.1666666666666667</v>
      </c>
      <c r="BJ7" s="35"/>
      <c r="BK7" s="208">
        <v>2025</v>
      </c>
      <c r="BL7" s="75" t="str">
        <f>INDEX('2025'!$A$2:$A$100,MATCH(BK2,'2025'!$B$2:$B$100,0))</f>
        <v>29th</v>
      </c>
      <c r="BM7" s="200">
        <f t="shared" si="4"/>
        <v>0.45263157894736844</v>
      </c>
      <c r="BN7" s="201">
        <f>VLOOKUP(BK2,'2025'!$B$2:$F$100,2, FALSE)</f>
        <v>129</v>
      </c>
      <c r="BO7" s="75" t="s">
        <v>175</v>
      </c>
      <c r="BP7" s="202">
        <f>VLOOKUP(BK2,'2025'!$B$2:$F$100,3, FALSE)</f>
        <v>285</v>
      </c>
      <c r="BQ7" s="75">
        <f>VLOOKUP(BK2,'2025'!$B$2:$F$100,5, FALSE)</f>
        <v>19</v>
      </c>
      <c r="BR7" s="209">
        <f>VLOOKUP(BK2,'Weekly Wins'!$V$3:$W$100,2, FALSE)</f>
        <v>0</v>
      </c>
      <c r="BS7" s="35"/>
      <c r="BT7" s="208">
        <v>2025</v>
      </c>
      <c r="BU7" s="75" t="str">
        <f>INDEX('2025'!$A$2:$A$100,MATCH(BT2,'2025'!$B$2:$B$100,0))</f>
        <v>17th</v>
      </c>
      <c r="BV7" s="200">
        <f>BW7/BY7</f>
        <v>0.47719298245614034</v>
      </c>
      <c r="BW7" s="201">
        <f>VLOOKUP(BT2,'2025'!$B$2:$F$100,2, FALSE)</f>
        <v>136</v>
      </c>
      <c r="BX7" s="75" t="s">
        <v>175</v>
      </c>
      <c r="BY7" s="202">
        <f>VLOOKUP(BT2,'2025'!$B$2:$F$100,3, FALSE)</f>
        <v>285</v>
      </c>
      <c r="BZ7" s="75">
        <f>VLOOKUP(BT2,'2025'!$B$2:$F$100,5, FALSE)</f>
        <v>19</v>
      </c>
      <c r="CA7" s="209">
        <f>VLOOKUP(BT2,'Weekly Wins'!$V$3:$W$100,2, FALSE)</f>
        <v>0.5</v>
      </c>
      <c r="CB7" s="35"/>
      <c r="CC7" s="208">
        <v>2025</v>
      </c>
      <c r="CD7" s="75" t="str">
        <f>INDEX('2025'!$A$2:$A$100,MATCH(CC2,'2025'!$B$2:$B$100,0))</f>
        <v>15th</v>
      </c>
      <c r="CE7" s="200">
        <f t="shared" si="5"/>
        <v>0.48421052631578948</v>
      </c>
      <c r="CF7" s="201">
        <f>VLOOKUP(CC2,'2025'!$B$2:$F$100,2, FALSE)</f>
        <v>138</v>
      </c>
      <c r="CG7" s="75" t="s">
        <v>175</v>
      </c>
      <c r="CH7" s="202">
        <f>VLOOKUP(CC2,'2025'!$B$2:$F$100,3, FALSE)</f>
        <v>285</v>
      </c>
      <c r="CI7" s="75">
        <f>VLOOKUP(CC2,'2025'!$B$2:$F$100,5, FALSE)</f>
        <v>21</v>
      </c>
      <c r="CJ7" s="209">
        <f>VLOOKUP(CC2,'Weekly Wins'!$V$3:$W$100,2, FALSE)</f>
        <v>0.2</v>
      </c>
      <c r="CK7" s="35"/>
      <c r="CL7" s="208">
        <v>2025</v>
      </c>
      <c r="CM7" s="75" t="str">
        <f>INDEX('2025'!$A$2:$A$100,MATCH(CL2,'2025'!$B$2:$B$100,0))</f>
        <v>20th</v>
      </c>
      <c r="CN7" s="200">
        <f t="shared" si="6"/>
        <v>0.46666666666666667</v>
      </c>
      <c r="CO7" s="201">
        <f>VLOOKUP(CL2,'2025'!$B$2:$F$100,2, FALSE)</f>
        <v>133</v>
      </c>
      <c r="CP7" s="75" t="s">
        <v>175</v>
      </c>
      <c r="CQ7" s="202">
        <f>VLOOKUP(CL2,'2025'!$B$2:$F$100,3, FALSE)</f>
        <v>285</v>
      </c>
      <c r="CR7" s="75">
        <f>VLOOKUP(CL2,'2025'!$B$2:$F$100,5, FALSE)</f>
        <v>20</v>
      </c>
      <c r="CS7" s="209">
        <f>VLOOKUP(CL2,'Weekly Wins'!$V$3:$W$100,2, FALSE)</f>
        <v>0.45</v>
      </c>
      <c r="CU7" s="208">
        <v>2025</v>
      </c>
      <c r="CV7" s="75" t="str">
        <f>INDEX('2025'!$A$2:$A$100,MATCH(CU2,'2025'!$B$2:$B$100,0))</f>
        <v>9th</v>
      </c>
      <c r="CW7" s="200">
        <f t="shared" si="7"/>
        <v>0.50526315789473686</v>
      </c>
      <c r="CX7" s="201">
        <f>VLOOKUP(CU2,'2025'!$B$2:$F$100,2, FALSE)</f>
        <v>144</v>
      </c>
      <c r="CY7" s="75" t="s">
        <v>175</v>
      </c>
      <c r="CZ7" s="202">
        <f>VLOOKUP(CU2,'2025'!$B$2:$F$100,3, FALSE)</f>
        <v>285</v>
      </c>
      <c r="DA7" s="75">
        <f>VLOOKUP(CU2,'2025'!$B$2:$F$100,5, FALSE)</f>
        <v>17.5</v>
      </c>
      <c r="DB7" s="209">
        <f>VLOOKUP(CU2,'Weekly Wins'!$V$3:$W$100,2, FALSE)</f>
        <v>0</v>
      </c>
      <c r="DD7" s="208">
        <v>2025</v>
      </c>
      <c r="DE7" s="75" t="str">
        <f>INDEX('2025'!$A$2:$A$100,MATCH(DD2,'2025'!$B$2:$B$100,0))</f>
        <v>16th</v>
      </c>
      <c r="DF7" s="200">
        <f>DG7/DI7</f>
        <v>0.48070175438596491</v>
      </c>
      <c r="DG7" s="201">
        <f>VLOOKUP(DD2,'2025'!$B$2:$F$100,2, FALSE)</f>
        <v>137</v>
      </c>
      <c r="DH7" s="75" t="s">
        <v>175</v>
      </c>
      <c r="DI7" s="202">
        <f>VLOOKUP(DD2,'2025'!$B$2:$F$100,3, FALSE)</f>
        <v>285</v>
      </c>
      <c r="DJ7" s="75">
        <f>VLOOKUP(DD2,'2025'!$B$2:$F$100,5, FALSE)</f>
        <v>20</v>
      </c>
      <c r="DK7" s="209">
        <f>VLOOKUP(DD2,'Weekly Wins'!$V$3:$W$100,2, FALSE)</f>
        <v>0</v>
      </c>
      <c r="DM7" s="208">
        <v>2025</v>
      </c>
      <c r="DN7" s="75" t="str">
        <f>INDEX('2025'!$A$2:$A$100,MATCH(DM2,'2025'!$B$2:$B$100,0))</f>
        <v>3rd</v>
      </c>
      <c r="DO7" s="200">
        <f>DP7/DR7</f>
        <v>0.52631578947368418</v>
      </c>
      <c r="DP7" s="201">
        <f>VLOOKUP(DM2,'2025'!$B$2:$F$100,2, FALSE)</f>
        <v>150</v>
      </c>
      <c r="DQ7" s="75" t="s">
        <v>175</v>
      </c>
      <c r="DR7" s="202">
        <f>VLOOKUP(DM2,'2025'!$B$2:$F$100,3, FALSE)</f>
        <v>285</v>
      </c>
      <c r="DS7" s="75">
        <f>VLOOKUP(DM2,'2025'!$B$2:$F$100,5, FALSE)</f>
        <v>24</v>
      </c>
      <c r="DT7" s="209">
        <f>VLOOKUP(DM2,'Weekly Wins'!$V$3:$W$100,2, FALSE)</f>
        <v>1.6666666666666665</v>
      </c>
      <c r="DV7" s="208">
        <v>2025</v>
      </c>
      <c r="DW7" s="75" t="str">
        <f>INDEX('2025'!$A$2:$A$100,MATCH(DV2,'2025'!$B$2:$B$100,0))</f>
        <v>35th</v>
      </c>
      <c r="DX7" s="200">
        <f t="shared" si="8"/>
        <v>0.41754385964912283</v>
      </c>
      <c r="DY7" s="201">
        <f>VLOOKUP(DV2,'2025'!$B$2:$F$100,2, FALSE)</f>
        <v>119</v>
      </c>
      <c r="DZ7" s="75" t="s">
        <v>175</v>
      </c>
      <c r="EA7" s="202">
        <f>VLOOKUP(DV2,'2025'!$B$2:$F$100,3, FALSE)</f>
        <v>285</v>
      </c>
      <c r="EB7" s="75">
        <f>VLOOKUP(DV2,'2025'!$B$2:$F$100,5, FALSE)</f>
        <v>16.5</v>
      </c>
      <c r="EC7" s="209">
        <f>VLOOKUP(DV2,'Weekly Wins'!$V$3:$W$100,2, FALSE)</f>
        <v>0</v>
      </c>
      <c r="EE7" s="208">
        <v>2024</v>
      </c>
      <c r="EF7" s="75" t="str">
        <f>INDEX('2024'!$A$2:$A$100,MATCH(EE2,'2024'!$B$2:$B$100,0))</f>
        <v>22nd</v>
      </c>
      <c r="EG7" s="200">
        <f>EH7/EJ7</f>
        <v>0.48064516129032259</v>
      </c>
      <c r="EH7" s="201">
        <f>VLOOKUP(EE2,'2024'!$B$2:$F$100,2, FALSE)</f>
        <v>149</v>
      </c>
      <c r="EI7" s="75" t="s">
        <v>175</v>
      </c>
      <c r="EJ7" s="202">
        <f>VLOOKUP(EE2,'2024'!$B$2:$F$100,3, FALSE)</f>
        <v>310</v>
      </c>
      <c r="EK7" s="75">
        <f>VLOOKUP(EE2,'2024'!$B$2:$F$100,5, FALSE)</f>
        <v>12</v>
      </c>
      <c r="EL7" s="209">
        <f>VLOOKUP(EE2,'Weekly Wins'!$Y$3:$Z$100,2, FALSE)</f>
        <v>0</v>
      </c>
      <c r="EN7" s="210">
        <f>COUNT(EN5:EN6)</f>
        <v>1</v>
      </c>
      <c r="EO7" s="211" t="s">
        <v>352</v>
      </c>
      <c r="EP7" s="212">
        <f>EQ7/ES7</f>
        <v>0.35</v>
      </c>
      <c r="EQ7" s="213">
        <f>SUM(EQ5:EQ6)</f>
        <v>49</v>
      </c>
      <c r="ER7" s="214" t="s">
        <v>175</v>
      </c>
      <c r="ES7" s="211">
        <f>SUM(ES5:ES6)</f>
        <v>140</v>
      </c>
      <c r="ET7" s="214">
        <f>SUM(ET5:ET6)</f>
        <v>2</v>
      </c>
      <c r="EU7" s="215">
        <f>SUM(EU5:EU6)</f>
        <v>0</v>
      </c>
      <c r="EW7" s="208">
        <v>2025</v>
      </c>
      <c r="EX7" s="75" t="str">
        <f>INDEX('2025'!$A$2:$A$100,MATCH(EW2,'2025'!$B$2:$B$100,0))</f>
        <v>25th</v>
      </c>
      <c r="EY7" s="200">
        <f t="shared" si="11"/>
        <v>0.4631578947368421</v>
      </c>
      <c r="EZ7" s="201">
        <f>VLOOKUP(EW2,'2025'!$B$2:$F$100,2, FALSE)</f>
        <v>132</v>
      </c>
      <c r="FA7" s="75" t="s">
        <v>175</v>
      </c>
      <c r="FB7" s="202">
        <f>VLOOKUP(EW2,'2025'!$B$2:$F$100,3, FALSE)</f>
        <v>285</v>
      </c>
      <c r="FC7" s="75">
        <f>VLOOKUP(EW2,'2025'!$B$2:$F$100,5, FALSE)</f>
        <v>16.5</v>
      </c>
      <c r="FD7" s="209">
        <f>VLOOKUP(EW2,'Weekly Wins'!$V$3:$W$100,2, FALSE)</f>
        <v>0</v>
      </c>
      <c r="FF7" s="208">
        <v>2025</v>
      </c>
      <c r="FG7" s="75" t="str">
        <f>INDEX('2025'!$A$2:$A$100,MATCH(FF2,'2025'!$B$2:$B$100,0))</f>
        <v>36th</v>
      </c>
      <c r="FH7" s="200">
        <f t="shared" si="12"/>
        <v>0.40701754385964911</v>
      </c>
      <c r="FI7" s="201">
        <f>VLOOKUP(FF2,'2025'!$B$2:$F$100,2, FALSE)</f>
        <v>116</v>
      </c>
      <c r="FJ7" s="75" t="s">
        <v>175</v>
      </c>
      <c r="FK7" s="202">
        <f>VLOOKUP(FF2,'2025'!$B$2:$F$100,3, FALSE)</f>
        <v>285</v>
      </c>
      <c r="FL7" s="75">
        <f>VLOOKUP(FF2,'2025'!$B$2:$F$100,5, FALSE)</f>
        <v>14</v>
      </c>
      <c r="FM7" s="209">
        <f>VLOOKUP(FF2,'Weekly Wins'!$V$3:$W$100,2, FALSE)</f>
        <v>0</v>
      </c>
      <c r="FN7" s="35"/>
      <c r="FO7" s="208">
        <v>2025</v>
      </c>
      <c r="FP7" s="75" t="str">
        <f>INDEX('2025'!$A$2:$A$100,MATCH(FO2,'2025'!$B$2:$B$100,0))</f>
        <v>19th</v>
      </c>
      <c r="FQ7" s="200">
        <f t="shared" si="13"/>
        <v>0.46666666666666667</v>
      </c>
      <c r="FR7" s="201">
        <f>VLOOKUP(FO2,'2025'!$B$2:$F$100,2, FALSE)</f>
        <v>133</v>
      </c>
      <c r="FS7" s="75" t="s">
        <v>175</v>
      </c>
      <c r="FT7" s="202">
        <f>VLOOKUP(FO2,'2025'!$B$2:$F$100,3, FALSE)</f>
        <v>285</v>
      </c>
      <c r="FU7" s="75">
        <f>VLOOKUP(FO2,'2025'!$B$2:$F$100,5, FALSE)</f>
        <v>21</v>
      </c>
      <c r="FV7" s="209">
        <f>VLOOKUP(FO2,'Weekly Wins'!$V$3:$W$100,2, FALSE)</f>
        <v>0</v>
      </c>
      <c r="FW7" s="35"/>
      <c r="FX7" s="210">
        <f>COUNT(FX5:FX6)</f>
        <v>1</v>
      </c>
      <c r="FY7" s="211" t="s">
        <v>352</v>
      </c>
      <c r="FZ7" s="212">
        <f>GA7/GC7</f>
        <v>0.46666666666666667</v>
      </c>
      <c r="GA7" s="213">
        <f>SUM(GA5:GA6)</f>
        <v>84</v>
      </c>
      <c r="GB7" s="214" t="s">
        <v>175</v>
      </c>
      <c r="GC7" s="211">
        <f>SUM(GC5:GC6)</f>
        <v>180</v>
      </c>
      <c r="GD7" s="214">
        <f>SUM(GD5:GD6)</f>
        <v>7.5</v>
      </c>
      <c r="GE7" s="215">
        <f>SUM(GE5:GE6)</f>
        <v>0</v>
      </c>
      <c r="GF7" s="35"/>
      <c r="GG7" s="208">
        <v>2025</v>
      </c>
      <c r="GH7" s="75" t="str">
        <f>INDEX('2025'!$A$2:$A$100,MATCH(GG2,'2025'!$B$2:$B$100,0))</f>
        <v>14th</v>
      </c>
      <c r="GI7" s="200">
        <f t="shared" si="15"/>
        <v>0.48771929824561405</v>
      </c>
      <c r="GJ7" s="201">
        <f>VLOOKUP(GG2,'2025'!$B$2:$F$100,2, FALSE)</f>
        <v>139</v>
      </c>
      <c r="GK7" s="75" t="s">
        <v>175</v>
      </c>
      <c r="GL7" s="202">
        <f>VLOOKUP(GG2,'2025'!$B$2:$F$100,3, FALSE)</f>
        <v>285</v>
      </c>
      <c r="GM7" s="75">
        <f>VLOOKUP(GG2,'2025'!$B$2:$F$100,5, FALSE)</f>
        <v>15</v>
      </c>
      <c r="GN7" s="209">
        <f>VLOOKUP(GG2,'Weekly Wins'!$V$3:$W$100,2, FALSE)</f>
        <v>0</v>
      </c>
      <c r="GO7" s="35"/>
      <c r="GP7" s="208">
        <v>2025</v>
      </c>
      <c r="GQ7" s="75" t="str">
        <f>INDEX('2025'!$A$2:$A$100,MATCH(GP2,'2025'!$B$2:$B$100,0))</f>
        <v>37th</v>
      </c>
      <c r="GR7" s="200">
        <f t="shared" si="16"/>
        <v>0.40701754385964911</v>
      </c>
      <c r="GS7" s="201">
        <f>VLOOKUP(GP2,'2025'!$B$2:$F$100,2, FALSE)</f>
        <v>116</v>
      </c>
      <c r="GT7" s="75" t="s">
        <v>175</v>
      </c>
      <c r="GU7" s="202">
        <f>VLOOKUP(GP2,'2025'!$B$2:$F$100,3, FALSE)</f>
        <v>285</v>
      </c>
      <c r="GV7" s="75">
        <f>VLOOKUP(GP2,'2025'!$B$2:$F$100,5, FALSE)</f>
        <v>12</v>
      </c>
      <c r="GW7" s="209">
        <f>VLOOKUP(GP2,'Weekly Wins'!$V$3:$W$100,2, FALSE)</f>
        <v>0</v>
      </c>
      <c r="GX7" s="35"/>
      <c r="GY7" s="208">
        <v>2025</v>
      </c>
      <c r="GZ7" s="75" t="str">
        <f>INDEX('2025'!$A$2:$A$100,MATCH(GY2,'2025'!$B$2:$B$100,0))</f>
        <v>31st</v>
      </c>
      <c r="HA7" s="200">
        <f t="shared" si="17"/>
        <v>0.4456140350877193</v>
      </c>
      <c r="HB7" s="201">
        <f>VLOOKUP(GY2,'2025'!$B$2:$F$100,2, FALSE)</f>
        <v>127</v>
      </c>
      <c r="HC7" s="75" t="s">
        <v>175</v>
      </c>
      <c r="HD7" s="202">
        <f>VLOOKUP(GY2,'2025'!$B$2:$F$100,3, FALSE)</f>
        <v>285</v>
      </c>
      <c r="HE7" s="75">
        <f>VLOOKUP(GY2,'2025'!$B$2:$F$100,5, FALSE)</f>
        <v>19</v>
      </c>
      <c r="HF7" s="209">
        <f>VLOOKUP(GY2,'Weekly Wins'!$V$3:$W$100,2, FALSE)</f>
        <v>0</v>
      </c>
      <c r="HG7" s="35"/>
      <c r="HH7" s="208">
        <v>2025</v>
      </c>
      <c r="HI7" s="75" t="str">
        <f>INDEX('2025'!$A$2:$A$100,MATCH(HH2,'2025'!$B$2:$B$100,0))</f>
        <v>5th</v>
      </c>
      <c r="HJ7" s="200">
        <f t="shared" si="18"/>
        <v>0.512280701754386</v>
      </c>
      <c r="HK7" s="201">
        <f>VLOOKUP(HH2,'2025'!$B$2:$F$100,2, FALSE)</f>
        <v>146</v>
      </c>
      <c r="HL7" s="75" t="s">
        <v>175</v>
      </c>
      <c r="HM7" s="202">
        <f>VLOOKUP(HH2,'2025'!$B$2:$F$100,3, FALSE)</f>
        <v>285</v>
      </c>
      <c r="HN7" s="75">
        <f>VLOOKUP(HH2,'2025'!$B$2:$F$100,5, FALSE)</f>
        <v>18.5</v>
      </c>
      <c r="HO7" s="209">
        <f>VLOOKUP(HH2,'Weekly Wins'!$V$3:$W$100,2, FALSE)</f>
        <v>0.3666666666666667</v>
      </c>
      <c r="HP7" s="35"/>
      <c r="HQ7" s="208">
        <v>2025</v>
      </c>
      <c r="HR7" s="75" t="str">
        <f>INDEX('2025'!$A$2:$A$100,MATCH(HQ2,'2025'!$B$2:$B$100,0))</f>
        <v>1st</v>
      </c>
      <c r="HS7" s="200">
        <f t="shared" si="19"/>
        <v>0.54035087719298247</v>
      </c>
      <c r="HT7" s="201">
        <f>VLOOKUP(HQ2,'2025'!$B$2:$F$100,2, FALSE)</f>
        <v>154</v>
      </c>
      <c r="HU7" s="75" t="s">
        <v>175</v>
      </c>
      <c r="HV7" s="202">
        <f>VLOOKUP(HQ2,'2025'!$B$2:$F$100,3, FALSE)</f>
        <v>285</v>
      </c>
      <c r="HW7" s="75">
        <f>VLOOKUP(HQ2,'2025'!$B$2:$F$100,5, FALSE)</f>
        <v>21</v>
      </c>
      <c r="HX7" s="209">
        <f>VLOOKUP(HQ2,'Weekly Wins'!$V$3:$W$100,2, FALSE)</f>
        <v>1.45</v>
      </c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</row>
    <row r="8" spans="1:259" ht="15.75" thickBot="1" x14ac:dyDescent="0.3">
      <c r="A8" s="35"/>
      <c r="B8" s="208">
        <v>2024</v>
      </c>
      <c r="C8" s="75" t="str">
        <f>INDEX('2024'!$A$2:$A$100,MATCH(B2,'2024'!$B$2:$B$100,0))</f>
        <v>3rd</v>
      </c>
      <c r="D8" s="200">
        <f t="shared" si="0"/>
        <v>0.51935483870967747</v>
      </c>
      <c r="E8" s="201">
        <f>VLOOKUP(B2,'2024'!$B$2:$F$100,2, FALSE)</f>
        <v>161</v>
      </c>
      <c r="F8" s="75" t="s">
        <v>175</v>
      </c>
      <c r="G8" s="202">
        <f>VLOOKUP(B2,'2024'!$B$2:$F$100,3, FALSE)</f>
        <v>310</v>
      </c>
      <c r="H8" s="75">
        <f>VLOOKUP(B2,'2024'!$B$2:$F$100,5, FALSE)</f>
        <v>18.5</v>
      </c>
      <c r="I8" s="209">
        <f>VLOOKUP(B2,'Weekly Wins'!$Y$3:$Z$100,2, FALSE)</f>
        <v>0</v>
      </c>
      <c r="J8" s="35"/>
      <c r="K8" s="35"/>
      <c r="L8" s="35"/>
      <c r="M8" s="35"/>
      <c r="N8" s="35"/>
      <c r="O8" s="35"/>
      <c r="P8" s="35"/>
      <c r="Q8" s="35"/>
      <c r="R8" s="210">
        <f>COUNT(R5:R7)</f>
        <v>2</v>
      </c>
      <c r="S8" s="211" t="s">
        <v>352</v>
      </c>
      <c r="T8" s="212">
        <f t="shared" ref="T8" si="20">U8/W8</f>
        <v>0.37995049504950495</v>
      </c>
      <c r="U8" s="213">
        <f>SUM(U5:U7)</f>
        <v>153.5</v>
      </c>
      <c r="V8" s="214" t="s">
        <v>175</v>
      </c>
      <c r="W8" s="211">
        <f>SUM(W5:W7)</f>
        <v>404</v>
      </c>
      <c r="X8" s="214">
        <f>SUM(X5:X7)</f>
        <v>12</v>
      </c>
      <c r="Y8" s="215">
        <f>SUM(Y5:Y7)</f>
        <v>0</v>
      </c>
      <c r="Z8" s="35"/>
      <c r="AA8" s="210">
        <f>COUNT(AA5:AA7)</f>
        <v>2</v>
      </c>
      <c r="AB8" s="211" t="s">
        <v>352</v>
      </c>
      <c r="AC8" s="212">
        <f t="shared" ref="AC8" si="21">AD8/AF8</f>
        <v>0.47741935483870968</v>
      </c>
      <c r="AD8" s="213">
        <f>SUM(AD5:AD7)</f>
        <v>222</v>
      </c>
      <c r="AE8" s="214" t="s">
        <v>175</v>
      </c>
      <c r="AF8" s="211">
        <f>SUM(AF5:AF7)</f>
        <v>465</v>
      </c>
      <c r="AG8" s="214">
        <f>SUM(AG5:AG7)</f>
        <v>23.5</v>
      </c>
      <c r="AH8" s="215">
        <f>SUM(AH5:AH7)</f>
        <v>0</v>
      </c>
      <c r="AI8" s="35"/>
      <c r="AJ8" s="208">
        <v>2024</v>
      </c>
      <c r="AK8" s="75" t="str">
        <f>INDEX('2024'!$A$2:$A$100,MATCH(AJ2,'2024'!$B$2:$B$100,0))</f>
        <v>19th</v>
      </c>
      <c r="AL8" s="200">
        <f t="shared" si="1"/>
        <v>0.48709677419354841</v>
      </c>
      <c r="AM8" s="201">
        <f>VLOOKUP(AJ2,'2024'!$B$2:$F$100,2, FALSE)</f>
        <v>151</v>
      </c>
      <c r="AN8" s="75" t="s">
        <v>175</v>
      </c>
      <c r="AO8" s="202">
        <f>VLOOKUP(AJ2,'2024'!$B$2:$F$100,3, FALSE)</f>
        <v>310</v>
      </c>
      <c r="AP8" s="75">
        <f>VLOOKUP(AJ2,'2024'!$B$2:$F$100,5, FALSE)</f>
        <v>13.5</v>
      </c>
      <c r="AQ8" s="209">
        <f>VLOOKUP(AJ2,'Weekly Wins'!$Y$3:$Z$100,2, FALSE)</f>
        <v>1</v>
      </c>
      <c r="AR8" s="35"/>
      <c r="AS8" s="208">
        <v>2024</v>
      </c>
      <c r="AT8" s="75" t="str">
        <f>INDEX('2024'!$A$2:$A$100,MATCH(AS2,'2024'!$B$2:$B$100,0))</f>
        <v>23rd</v>
      </c>
      <c r="AU8" s="200">
        <f t="shared" si="2"/>
        <v>0.47741935483870968</v>
      </c>
      <c r="AV8" s="201">
        <f>VLOOKUP(AS2,'2024'!$B$2:$F$100,2, FALSE)</f>
        <v>148</v>
      </c>
      <c r="AW8" s="75" t="s">
        <v>175</v>
      </c>
      <c r="AX8" s="202">
        <f>VLOOKUP(AS2,'2024'!$B$2:$F$100,3, FALSE)</f>
        <v>310</v>
      </c>
      <c r="AY8" s="75">
        <v>18</v>
      </c>
      <c r="AZ8" s="209">
        <f>VLOOKUP(AS2,'Weekly Wins'!$Y$3:$Z$100,2, FALSE)</f>
        <v>0.5</v>
      </c>
      <c r="BA8" s="35"/>
      <c r="BB8" s="208">
        <v>2024</v>
      </c>
      <c r="BC8" s="75" t="str">
        <f>INDEX('2024'!$A$2:$A$100,MATCH(BB2,'2024'!$B$2:$B$100,0))</f>
        <v>16th</v>
      </c>
      <c r="BD8" s="200">
        <f t="shared" si="3"/>
        <v>0.49032258064516127</v>
      </c>
      <c r="BE8" s="201">
        <f>VLOOKUP(BB2,'2024'!$B$2:$F$100,2, FALSE)</f>
        <v>152</v>
      </c>
      <c r="BF8" s="75" t="s">
        <v>175</v>
      </c>
      <c r="BG8" s="202">
        <f>VLOOKUP(BB2,'2024'!$B$2:$F$100,3, FALSE)</f>
        <v>310</v>
      </c>
      <c r="BH8" s="75">
        <f>VLOOKUP(BB2,'2024'!$B$2:$F$100,5, FALSE)</f>
        <v>20</v>
      </c>
      <c r="BI8" s="209">
        <f>VLOOKUP(BB2,'Weekly Wins'!$Y$3:$Z$100,2, FALSE)</f>
        <v>1</v>
      </c>
      <c r="BJ8" s="35"/>
      <c r="BK8" s="208">
        <v>2024</v>
      </c>
      <c r="BL8" s="75" t="str">
        <f>INDEX('2024'!$A$2:$A$100,MATCH(BK2,'2024'!$B$2:$B$100,0))</f>
        <v>20th</v>
      </c>
      <c r="BM8" s="200">
        <f t="shared" si="4"/>
        <v>0.4838709677419355</v>
      </c>
      <c r="BN8" s="201">
        <f>VLOOKUP(BK2,'2024'!$B$2:$F$100,2, FALSE)</f>
        <v>150</v>
      </c>
      <c r="BO8" s="75" t="s">
        <v>175</v>
      </c>
      <c r="BP8" s="202">
        <f>VLOOKUP(BK2,'2024'!$B$2:$F$100,3, FALSE)</f>
        <v>310</v>
      </c>
      <c r="BQ8" s="75">
        <f>VLOOKUP(BK2,'2024'!$B$2:$F$100,5, FALSE)</f>
        <v>16</v>
      </c>
      <c r="BR8" s="209">
        <f>VLOOKUP(BK2,'Weekly Wins'!$Y$3:$Z$100,2, FALSE)</f>
        <v>0</v>
      </c>
      <c r="BS8" s="35"/>
      <c r="BT8" s="208">
        <v>2024</v>
      </c>
      <c r="BU8" s="75" t="str">
        <f>INDEX('2024'!$A$2:$A$100,MATCH(BT2,'2024'!$B$2:$B$100,0))</f>
        <v>34th/2nd*</v>
      </c>
      <c r="BV8" s="200">
        <f>BW8/BY8</f>
        <v>0.50370370370370365</v>
      </c>
      <c r="BW8" s="201">
        <f>VLOOKUP(BT2,'2024'!$B$2:$F$100,2, FALSE)</f>
        <v>136</v>
      </c>
      <c r="BX8" s="75" t="s">
        <v>175</v>
      </c>
      <c r="BY8" s="202">
        <f>VLOOKUP(BT2,'2024'!$B$2:$F$100,3, FALSE)</f>
        <v>270</v>
      </c>
      <c r="BZ8" s="75">
        <f>VLOOKUP(BT2,'2024'!$B$2:$F$100,5, FALSE)</f>
        <v>17</v>
      </c>
      <c r="CA8" s="209">
        <f>VLOOKUP(BT2,'Weekly Wins'!$Y$3:$Z$100,2, FALSE)</f>
        <v>1</v>
      </c>
      <c r="CB8" s="35"/>
      <c r="CC8" s="208">
        <v>2024</v>
      </c>
      <c r="CD8" s="75" t="str">
        <f>INDEX('2024'!$A$2:$A$100,MATCH(CC2,'2024'!$B$2:$B$100,0))</f>
        <v>3rd</v>
      </c>
      <c r="CE8" s="200">
        <f t="shared" si="5"/>
        <v>0.51935483870967747</v>
      </c>
      <c r="CF8" s="201">
        <f>VLOOKUP(CC2,'2024'!$B$2:$F$100,2, FALSE)</f>
        <v>161</v>
      </c>
      <c r="CG8" s="75" t="s">
        <v>175</v>
      </c>
      <c r="CH8" s="202">
        <f>VLOOKUP(CC2,'2024'!$B$2:$F$100,3, FALSE)</f>
        <v>310</v>
      </c>
      <c r="CI8" s="75">
        <f>VLOOKUP(CC2,'2024'!$B$2:$F$100,5, FALSE)</f>
        <v>18.5</v>
      </c>
      <c r="CJ8" s="209">
        <f>VLOOKUP(CC2,'Weekly Wins'!$Y$3:$Z$100,2, FALSE)</f>
        <v>0</v>
      </c>
      <c r="CK8" s="35"/>
      <c r="CL8" s="208">
        <v>2024</v>
      </c>
      <c r="CM8" s="75" t="str">
        <f>INDEX('2024'!$A$2:$A$100,MATCH(CL2,'2024'!$B$2:$B$100,0))</f>
        <v>6th</v>
      </c>
      <c r="CN8" s="200">
        <f t="shared" si="6"/>
        <v>0.50645161290322582</v>
      </c>
      <c r="CO8" s="201">
        <f>VLOOKUP(CL2,'2024'!$B$2:$F$100,2, FALSE)</f>
        <v>157</v>
      </c>
      <c r="CP8" s="75" t="s">
        <v>175</v>
      </c>
      <c r="CQ8" s="202">
        <f>VLOOKUP(CL2,'2024'!$B$2:$F$100,3, FALSE)</f>
        <v>310</v>
      </c>
      <c r="CR8" s="75">
        <f>VLOOKUP(CL2,'2024'!$B$2:$F$100,5, FALSE)</f>
        <v>20.5</v>
      </c>
      <c r="CS8" s="209">
        <f>VLOOKUP(CL2,'Weekly Wins'!$Y$3:$Z$100,2, FALSE)</f>
        <v>1</v>
      </c>
      <c r="CU8" s="208">
        <v>2024</v>
      </c>
      <c r="CV8" s="75" t="str">
        <f>INDEX('2024'!$A$2:$A$100,MATCH(CU2,'2024'!$B$2:$B$100,0))</f>
        <v>31st</v>
      </c>
      <c r="CW8" s="200">
        <f t="shared" si="7"/>
        <v>0.44838709677419353</v>
      </c>
      <c r="CX8" s="201">
        <f>VLOOKUP(CU2,'2024'!$B$2:$F$100,2, FALSE)</f>
        <v>139</v>
      </c>
      <c r="CY8" s="75" t="s">
        <v>175</v>
      </c>
      <c r="CZ8" s="202">
        <f>VLOOKUP(CU2,'2024'!$B$2:$F$100,3, FALSE)</f>
        <v>310</v>
      </c>
      <c r="DA8" s="75">
        <f>VLOOKUP(CU2,'2024'!$B$2:$F$100,5, FALSE)</f>
        <v>12</v>
      </c>
      <c r="DB8" s="209">
        <f>VLOOKUP(CU2,'Weekly Wins'!$Y$3:$Z$100,2, FALSE)</f>
        <v>0.45</v>
      </c>
      <c r="DD8" s="208">
        <v>2024</v>
      </c>
      <c r="DE8" s="75" t="str">
        <f>INDEX('2024'!$A$2:$A$100,MATCH(DD2,'2024'!$B$2:$B$100,0))</f>
        <v>2nd</v>
      </c>
      <c r="DF8" s="200">
        <f>DG8/DI8</f>
        <v>0.52903225806451615</v>
      </c>
      <c r="DG8" s="201">
        <f>VLOOKUP(DD2,'2024'!$B$2:$F$100,2, FALSE)</f>
        <v>164</v>
      </c>
      <c r="DH8" s="75" t="s">
        <v>175</v>
      </c>
      <c r="DI8" s="202">
        <f>VLOOKUP(DD2,'2024'!$B$2:$F$100,3, FALSE)</f>
        <v>310</v>
      </c>
      <c r="DJ8" s="75">
        <f>VLOOKUP(DD2,'2024'!$B$2:$F$100,5, FALSE)</f>
        <v>17</v>
      </c>
      <c r="DK8" s="209">
        <f>VLOOKUP(DD2,'Weekly Wins'!$Y$3:$Z$100,2, FALSE)</f>
        <v>1</v>
      </c>
      <c r="DM8" s="210">
        <f>COUNT(DM5:DM7)</f>
        <v>2</v>
      </c>
      <c r="DN8" s="211" t="s">
        <v>352</v>
      </c>
      <c r="DO8" s="212">
        <f t="shared" ref="DO8" si="22">DP8/DR8</f>
        <v>0.5268817204301075</v>
      </c>
      <c r="DP8" s="213">
        <f>SUM(DP5:DP7)</f>
        <v>245</v>
      </c>
      <c r="DQ8" s="214" t="s">
        <v>175</v>
      </c>
      <c r="DR8" s="211">
        <f>SUM(DR5:DR7)</f>
        <v>465</v>
      </c>
      <c r="DS8" s="214">
        <f>SUM(DS5:DS7)</f>
        <v>30</v>
      </c>
      <c r="DT8" s="215">
        <f>SUM(DT5:DT7)</f>
        <v>2.1666666666666665</v>
      </c>
      <c r="DV8" s="208">
        <v>2024</v>
      </c>
      <c r="DW8" s="75" t="str">
        <f>INDEX('2024'!$A$2:$A$100,MATCH(DV2,'2024'!$B$2:$B$100,0))</f>
        <v>25th</v>
      </c>
      <c r="DX8" s="200">
        <f t="shared" si="8"/>
        <v>0.47741935483870968</v>
      </c>
      <c r="DY8" s="201">
        <f>VLOOKUP(DV2,'2024'!$B$2:$F$100,2, FALSE)</f>
        <v>148</v>
      </c>
      <c r="DZ8" s="75" t="s">
        <v>175</v>
      </c>
      <c r="EA8" s="202">
        <f>VLOOKUP(DV2,'2024'!$B$2:$F$100,3, FALSE)</f>
        <v>310</v>
      </c>
      <c r="EB8" s="75">
        <f>VLOOKUP(DV2,'2024'!$B$2:$F$100,5, FALSE)</f>
        <v>15</v>
      </c>
      <c r="EC8" s="209">
        <f>VLOOKUP(DV2,'Weekly Wins'!$Y$3:$Z$100,2, FALSE)</f>
        <v>0</v>
      </c>
      <c r="EE8" s="208">
        <v>2023</v>
      </c>
      <c r="EF8" s="75" t="str">
        <f>INDEX('2023'!$A$2:$A$100,MATCH(EE2,'2023'!$B$2:$B$100,0))</f>
        <v>31st</v>
      </c>
      <c r="EG8" s="200">
        <f>EH8/EJ8</f>
        <v>0.49482758620689654</v>
      </c>
      <c r="EH8" s="201">
        <f>VLOOKUP(EE2,'2023'!$B$2:$F$100,2, FALSE)</f>
        <v>143.5</v>
      </c>
      <c r="EI8" s="75" t="s">
        <v>175</v>
      </c>
      <c r="EJ8" s="202">
        <f>VLOOKUP(EE2,'2023'!$B$2:$F$100,3, FALSE)</f>
        <v>290</v>
      </c>
      <c r="EK8" s="75">
        <f>VLOOKUP(EE2,'2023'!$B$2:$F$100,5, FALSE)</f>
        <v>14</v>
      </c>
      <c r="EL8" s="209">
        <f>VLOOKUP(EE2,'Weekly Wins'!$AB$3:$AC$100,2, FALSE)</f>
        <v>0</v>
      </c>
      <c r="EW8" s="208">
        <v>2024</v>
      </c>
      <c r="EX8" s="75" t="str">
        <f>INDEX('2024'!$A$2:$A$100,MATCH(EW2,'2024'!$B$2:$B$100,0))</f>
        <v>1st</v>
      </c>
      <c r="EY8" s="200">
        <f t="shared" si="11"/>
        <v>0.532258064516129</v>
      </c>
      <c r="EZ8" s="201">
        <f>VLOOKUP(EW2,'2024'!$B$2:$F$100,2, FALSE)</f>
        <v>165</v>
      </c>
      <c r="FA8" s="75" t="s">
        <v>175</v>
      </c>
      <c r="FB8" s="202">
        <f>VLOOKUP(EW2,'2024'!$B$2:$F$100,3, FALSE)</f>
        <v>310</v>
      </c>
      <c r="FC8" s="75">
        <f>VLOOKUP(EW2,'2024'!$B$2:$F$100,5, FALSE)</f>
        <v>18</v>
      </c>
      <c r="FD8" s="209">
        <f>VLOOKUP(EW2,'Weekly Wins'!$Y$3:$Z$100,2, FALSE)</f>
        <v>0.7</v>
      </c>
      <c r="FF8" s="208">
        <v>2024</v>
      </c>
      <c r="FG8" s="75" t="str">
        <f>INDEX('2024'!$A$2:$A$100,MATCH(FF2,'2024'!$B$2:$B$100,0))</f>
        <v>26th</v>
      </c>
      <c r="FH8" s="200">
        <f t="shared" si="12"/>
        <v>0.46774193548387094</v>
      </c>
      <c r="FI8" s="201">
        <f>VLOOKUP(FF2,'2024'!$B$2:$F$100,2, FALSE)</f>
        <v>145</v>
      </c>
      <c r="FJ8" s="75" t="s">
        <v>175</v>
      </c>
      <c r="FK8" s="202">
        <f>VLOOKUP(FF2,'2024'!$B$2:$F$100,3, FALSE)</f>
        <v>310</v>
      </c>
      <c r="FL8" s="75">
        <f>VLOOKUP(FF2,'2024'!$B$2:$F$100,5, FALSE)</f>
        <v>18.5</v>
      </c>
      <c r="FM8" s="209">
        <f>VLOOKUP(FF2,'Weekly Wins'!$Y$3:$Z$100,2, FALSE)</f>
        <v>0.25</v>
      </c>
      <c r="FN8" s="35"/>
      <c r="FO8" s="208">
        <v>2024</v>
      </c>
      <c r="FP8" s="75" t="str">
        <f>INDEX('2024'!$A$2:$A$100,MATCH(FO2,'2024'!$B$2:$B$100,0))</f>
        <v>4th</v>
      </c>
      <c r="FQ8" s="200">
        <f t="shared" si="13"/>
        <v>0.51290322580645165</v>
      </c>
      <c r="FR8" s="201">
        <f>VLOOKUP(FO2,'2024'!$B$2:$F$100,2, FALSE)</f>
        <v>159</v>
      </c>
      <c r="FS8" s="75" t="s">
        <v>175</v>
      </c>
      <c r="FT8" s="202">
        <f>VLOOKUP(FO2,'2024'!$B$2:$F$100,3, FALSE)</f>
        <v>310</v>
      </c>
      <c r="FU8" s="75">
        <f>VLOOKUP(FO2,'2024'!$B$2:$F$100,5, FALSE)</f>
        <v>16.5</v>
      </c>
      <c r="FV8" s="209">
        <f>VLOOKUP(FO2,'Weekly Wins'!$Y$3:$Z$100,2, FALSE)</f>
        <v>0.58333333333333326</v>
      </c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208">
        <v>2023</v>
      </c>
      <c r="GH8" s="75" t="str">
        <f>INDEX('2023'!$A$2:$A$100,MATCH(GG2,'2023'!$B$2:$B$100,0))</f>
        <v>36th**</v>
      </c>
      <c r="GI8" s="200">
        <f>GJ8/GL8</f>
        <v>0.39374999999999999</v>
      </c>
      <c r="GJ8" s="201">
        <f>VLOOKUP(GG2,'2023'!$B$2:$F$100,2, FALSE)</f>
        <v>63</v>
      </c>
      <c r="GK8" s="75" t="s">
        <v>175</v>
      </c>
      <c r="GL8" s="202">
        <f>VLOOKUP(GG2,'2023'!$B$2:$F$100,3, FALSE)</f>
        <v>160</v>
      </c>
      <c r="GM8" s="75">
        <f>VLOOKUP(GG2,'2023'!$B$2:$F$100,5, FALSE)</f>
        <v>2</v>
      </c>
      <c r="GN8" s="209">
        <f>VLOOKUP(GG2,'Weekly Wins'!$AB$3:$AC$100,2, FALSE)</f>
        <v>0</v>
      </c>
      <c r="GO8" s="35"/>
      <c r="GP8" s="210">
        <f>COUNT(GP5:GP7)</f>
        <v>2</v>
      </c>
      <c r="GQ8" s="211" t="s">
        <v>352</v>
      </c>
      <c r="GR8" s="212">
        <f>GS8/GU8</f>
        <v>0.43225806451612903</v>
      </c>
      <c r="GS8" s="213">
        <f>SUM(GS5:GS7)</f>
        <v>201</v>
      </c>
      <c r="GT8" s="214" t="s">
        <v>175</v>
      </c>
      <c r="GU8" s="211">
        <f>SUM(GU5:GU7)</f>
        <v>465</v>
      </c>
      <c r="GV8" s="214">
        <f>SUM(GV5:GV7)</f>
        <v>17</v>
      </c>
      <c r="GW8" s="215">
        <f>SUM(GW5:GW7)</f>
        <v>0</v>
      </c>
      <c r="GX8" s="35"/>
      <c r="GY8" s="210">
        <f>COUNT(GY5:GY7)</f>
        <v>2</v>
      </c>
      <c r="GZ8" s="211" t="s">
        <v>352</v>
      </c>
      <c r="HA8" s="212">
        <f>HB8/HD8</f>
        <v>0.48172043010752691</v>
      </c>
      <c r="HB8" s="213">
        <f>SUM(HB5:HB7)</f>
        <v>224</v>
      </c>
      <c r="HC8" s="214" t="s">
        <v>175</v>
      </c>
      <c r="HD8" s="211">
        <f>SUM(HD5:HD7)</f>
        <v>465</v>
      </c>
      <c r="HE8" s="214">
        <f>SUM(HE5:HE7)</f>
        <v>28</v>
      </c>
      <c r="HF8" s="215">
        <f>SUM(HF5:HF7)</f>
        <v>1</v>
      </c>
      <c r="HG8" s="35"/>
      <c r="HH8" s="208">
        <v>2024</v>
      </c>
      <c r="HI8" s="75" t="str">
        <f>INDEX('2024'!$A$2:$A$100,MATCH(HH2,'2024'!$B$2:$B$100,0))</f>
        <v>12th</v>
      </c>
      <c r="HJ8" s="200">
        <f t="shared" si="18"/>
        <v>0.49354838709677418</v>
      </c>
      <c r="HK8" s="201">
        <f>VLOOKUP(HH2,'2024'!$B$2:$F$100,2, FALSE)</f>
        <v>153</v>
      </c>
      <c r="HL8" s="75" t="s">
        <v>175</v>
      </c>
      <c r="HM8" s="202">
        <f>VLOOKUP(HH2,'2024'!$B$2:$F$100,3, FALSE)</f>
        <v>310</v>
      </c>
      <c r="HN8" s="75">
        <f>VLOOKUP(HH2,'2024'!$B$2:$F$100,5, FALSE)</f>
        <v>21</v>
      </c>
      <c r="HO8" s="209">
        <f>VLOOKUP(HH2,'Weekly Wins'!$Y$3:$Z$100,2, FALSE)</f>
        <v>0</v>
      </c>
      <c r="HP8" s="35"/>
      <c r="HQ8" s="208">
        <v>2024</v>
      </c>
      <c r="HR8" s="75" t="str">
        <f>INDEX('2024'!$A$2:$A$100,MATCH(HQ2,'2024'!$B$2:$B$100,0))</f>
        <v>11th</v>
      </c>
      <c r="HS8" s="200">
        <f t="shared" si="19"/>
        <v>0.49516129032258066</v>
      </c>
      <c r="HT8" s="201">
        <f>VLOOKUP(HQ2,'2024'!$B$2:$F$100,2, FALSE)</f>
        <v>153.5</v>
      </c>
      <c r="HU8" s="75" t="s">
        <v>175</v>
      </c>
      <c r="HV8" s="202">
        <f>VLOOKUP(HQ2,'2024'!$B$2:$F$100,3, FALSE)</f>
        <v>310</v>
      </c>
      <c r="HW8" s="75">
        <f>VLOOKUP(HQ2,'2024'!$B$2:$F$100,5, FALSE)</f>
        <v>20.5</v>
      </c>
      <c r="HX8" s="209">
        <f>VLOOKUP(HQ2,'Weekly Wins'!$Y$3:$Z$100,2, FALSE)</f>
        <v>0.2</v>
      </c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</row>
    <row r="9" spans="1:259" ht="15.75" thickBot="1" x14ac:dyDescent="0.3">
      <c r="A9" s="35"/>
      <c r="B9" s="208">
        <v>2023</v>
      </c>
      <c r="C9" s="75" t="str">
        <f>INDEX('2023'!$A$2:$A$100,MATCH(B2,'2023'!$B$2:$B$100,0))</f>
        <v>27th</v>
      </c>
      <c r="D9" s="200">
        <f t="shared" si="0"/>
        <v>0.50172413793103443</v>
      </c>
      <c r="E9" s="201">
        <f>VLOOKUP(B2,'2023'!$B$2:$F$100,2, FALSE)</f>
        <v>145.5</v>
      </c>
      <c r="F9" s="75" t="s">
        <v>175</v>
      </c>
      <c r="G9" s="202">
        <f>VLOOKUP(B2,'2023'!$B$2:$F$100,3, FALSE)</f>
        <v>290</v>
      </c>
      <c r="H9" s="75">
        <f>VLOOKUP(B2,'2023'!$B$2:$F$100,5, FALSE)</f>
        <v>13</v>
      </c>
      <c r="I9" s="209">
        <f>VLOOKUP(B2,'Weekly Wins'!$AB$3:$AC$100,2, FALSE)</f>
        <v>0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208">
        <v>2023</v>
      </c>
      <c r="AK9" s="75" t="str">
        <f>INDEX('2023'!$A$2:$A$100,MATCH(AJ2,'2023'!$B$2:$B$100,0))</f>
        <v>25th</v>
      </c>
      <c r="AL9" s="200">
        <f t="shared" si="1"/>
        <v>0.50172413793103443</v>
      </c>
      <c r="AM9" s="201">
        <f>VLOOKUP(AJ2,'2023'!$B$2:$F$100,2, FALSE)</f>
        <v>145.5</v>
      </c>
      <c r="AN9" s="75" t="s">
        <v>175</v>
      </c>
      <c r="AO9" s="202">
        <f>VLOOKUP(AJ2,'2023'!$B$2:$F$100,3, FALSE)</f>
        <v>290</v>
      </c>
      <c r="AP9" s="75">
        <f>VLOOKUP(AJ2,'2023'!$B$2:$F$100,5, FALSE)</f>
        <v>19</v>
      </c>
      <c r="AQ9" s="209">
        <f>VLOOKUP(AJ2,'Weekly Wins'!$AB$3:$AC$100,2, FALSE)</f>
        <v>1</v>
      </c>
      <c r="AR9" s="35"/>
      <c r="AS9" s="208">
        <v>2023</v>
      </c>
      <c r="AT9" s="75" t="str">
        <f>INDEX('2023'!$A$2:$A$100,MATCH(AS2,'2023'!$B$2:$B$100,0))</f>
        <v>22nd</v>
      </c>
      <c r="AU9" s="200">
        <f t="shared" si="2"/>
        <v>0.50862068965517238</v>
      </c>
      <c r="AV9" s="201">
        <f>VLOOKUP(AS2,'2023'!$B$2:$F$100,2, FALSE)</f>
        <v>147.5</v>
      </c>
      <c r="AW9" s="75" t="s">
        <v>175</v>
      </c>
      <c r="AX9" s="202">
        <f>VLOOKUP(AS2,'2023'!$B$2:$F$100,3, FALSE)</f>
        <v>290</v>
      </c>
      <c r="AY9" s="75">
        <f>VLOOKUP(AS2,'2023'!$B$2:$F$100,5, FALSE)</f>
        <v>15</v>
      </c>
      <c r="AZ9" s="209">
        <f>VLOOKUP(AS2,'Weekly Wins'!$AB$3:$AC$100,2, FALSE)</f>
        <v>0.33333333333333331</v>
      </c>
      <c r="BA9" s="35"/>
      <c r="BB9" s="208">
        <v>2023</v>
      </c>
      <c r="BC9" s="75" t="str">
        <f>INDEX('2023'!$A$2:$A$100,MATCH(BB2,'2023'!$B$2:$B$100,0))</f>
        <v>19th</v>
      </c>
      <c r="BD9" s="200">
        <f t="shared" si="3"/>
        <v>0.51206896551724135</v>
      </c>
      <c r="BE9" s="201">
        <f>VLOOKUP(BB2,'2023'!$B$2:$F$100,2, FALSE)</f>
        <v>148.5</v>
      </c>
      <c r="BF9" s="75" t="s">
        <v>175</v>
      </c>
      <c r="BG9" s="202">
        <f>VLOOKUP(BB2,'2023'!$B$2:$F$100,3, FALSE)</f>
        <v>290</v>
      </c>
      <c r="BH9" s="75">
        <f>VLOOKUP(BB2,'2023'!$B$2:$F$100,5, FALSE)</f>
        <v>19.5</v>
      </c>
      <c r="BI9" s="209">
        <f>VLOOKUP(BB2,'Weekly Wins'!$AB$3:$AC$100,2, FALSE)</f>
        <v>2</v>
      </c>
      <c r="BJ9" s="35"/>
      <c r="BK9" s="208">
        <v>2023</v>
      </c>
      <c r="BL9" s="75" t="str">
        <f>INDEX('2023'!$A$2:$A$100,MATCH(BK2,'2023'!$B$2:$B$100,0))</f>
        <v>23rd</v>
      </c>
      <c r="BM9" s="200">
        <f t="shared" si="4"/>
        <v>0.5051724137931034</v>
      </c>
      <c r="BN9" s="201">
        <f>VLOOKUP(BK2,'2023'!$B$2:$F$100,2, FALSE)</f>
        <v>146.5</v>
      </c>
      <c r="BO9" s="75" t="s">
        <v>175</v>
      </c>
      <c r="BP9" s="202">
        <f>VLOOKUP(BK2,'2023'!$B$2:$F$100,3, FALSE)</f>
        <v>290</v>
      </c>
      <c r="BQ9" s="75">
        <f>VLOOKUP(BK2,'2023'!$B$2:$F$100,5, FALSE)</f>
        <v>18</v>
      </c>
      <c r="BR9" s="209">
        <f>VLOOKUP(BK2,'Weekly Wins'!$AB$3:$AC$100,2, FALSE)</f>
        <v>0.33333333333333331</v>
      </c>
      <c r="BS9" s="35"/>
      <c r="BT9" s="210">
        <f>COUNT(BT5:BT8)</f>
        <v>3</v>
      </c>
      <c r="BU9" s="211" t="s">
        <v>352</v>
      </c>
      <c r="BV9" s="212">
        <f t="shared" ref="BV9" si="23">BW9/BY9</f>
        <v>0.48163265306122449</v>
      </c>
      <c r="BW9" s="213">
        <f>SUM(BW5:BW8)</f>
        <v>354</v>
      </c>
      <c r="BX9" s="214" t="s">
        <v>175</v>
      </c>
      <c r="BY9" s="211">
        <f>SUM(BY5:BY8)</f>
        <v>735</v>
      </c>
      <c r="BZ9" s="214">
        <f>SUM(BZ5:BZ8)</f>
        <v>47</v>
      </c>
      <c r="CA9" s="215">
        <f>SUM(CA5:CA8)</f>
        <v>1.5</v>
      </c>
      <c r="CB9" s="35"/>
      <c r="CC9" s="208">
        <v>2023</v>
      </c>
      <c r="CD9" s="75" t="str">
        <f>INDEX('2023'!$A$2:$A$100,MATCH(CC2,'2023'!$B$2:$B$100,0))</f>
        <v>27th</v>
      </c>
      <c r="CE9" s="200">
        <f t="shared" si="5"/>
        <v>0.50172413793103443</v>
      </c>
      <c r="CF9" s="201">
        <f>VLOOKUP(CC2,'2023'!$B$2:$F$100,2, FALSE)</f>
        <v>145.5</v>
      </c>
      <c r="CG9" s="75" t="s">
        <v>175</v>
      </c>
      <c r="CH9" s="202">
        <f>VLOOKUP(CC2,'2023'!$B$2:$F$100,3, FALSE)</f>
        <v>290</v>
      </c>
      <c r="CI9" s="75">
        <f>VLOOKUP(CC2,'2023'!$B$2:$F$100,5, FALSE)</f>
        <v>13</v>
      </c>
      <c r="CJ9" s="209">
        <f>VLOOKUP(CC2,'Weekly Wins'!$AB$3:$AC$100,2, FALSE)</f>
        <v>0</v>
      </c>
      <c r="CK9" s="35"/>
      <c r="CL9" s="208">
        <v>2023</v>
      </c>
      <c r="CM9" s="75" t="str">
        <f>INDEX('2023'!$A$2:$A$100,MATCH(CL2,'2023'!$B$2:$B$100,0))</f>
        <v>26th</v>
      </c>
      <c r="CN9" s="200">
        <f t="shared" si="6"/>
        <v>0.50172413793103443</v>
      </c>
      <c r="CO9" s="201">
        <f>VLOOKUP(CL2,'2023'!$B$2:$F$100,2, FALSE)</f>
        <v>145.5</v>
      </c>
      <c r="CP9" s="75" t="s">
        <v>175</v>
      </c>
      <c r="CQ9" s="202">
        <f>VLOOKUP(CL2,'2023'!$B$2:$F$100,3, FALSE)</f>
        <v>290</v>
      </c>
      <c r="CR9" s="75">
        <f>VLOOKUP(CL2,'2023'!$B$2:$F$100,5, FALSE)</f>
        <v>15</v>
      </c>
      <c r="CS9" s="209">
        <f>VLOOKUP(CL2,'Weekly Wins'!$AB$3:$AC$100,2, FALSE)</f>
        <v>0.33333333333333331</v>
      </c>
      <c r="CU9" s="208">
        <v>2023</v>
      </c>
      <c r="CV9" s="75" t="str">
        <f>INDEX('2023'!$A$2:$A$100,MATCH(CU2,'2023'!$B$2:$B$100,0))</f>
        <v>17th</v>
      </c>
      <c r="CW9" s="200">
        <f t="shared" si="7"/>
        <v>0.51551724137931032</v>
      </c>
      <c r="CX9" s="201">
        <f>VLOOKUP(CU2,'2023'!$B$2:$F$100,2, FALSE)</f>
        <v>149.5</v>
      </c>
      <c r="CY9" s="75" t="s">
        <v>175</v>
      </c>
      <c r="CZ9" s="202">
        <f>VLOOKUP(CU2,'2023'!$B$2:$F$100,3, FALSE)</f>
        <v>290</v>
      </c>
      <c r="DA9" s="75">
        <f>VLOOKUP(CU2,'2023'!$B$2:$F$100,5, FALSE)</f>
        <v>19</v>
      </c>
      <c r="DB9" s="209">
        <f>VLOOKUP(CU2,'Weekly Wins'!$AB$3:$AC$100,2, FALSE)</f>
        <v>0</v>
      </c>
      <c r="DD9" s="208">
        <v>2023</v>
      </c>
      <c r="DE9" s="75" t="str">
        <f>INDEX('2023'!$A$2:$A$100,MATCH(DD2,'2023'!$B$2:$B$100,0))</f>
        <v>35th/1st*</v>
      </c>
      <c r="DF9" s="200">
        <f>DG9/DI9</f>
        <v>0.53947368421052633</v>
      </c>
      <c r="DG9" s="201">
        <f>VLOOKUP(DD2,'2023'!$B$2:$F$100,2, FALSE)</f>
        <v>102.5</v>
      </c>
      <c r="DH9" s="75" t="s">
        <v>175</v>
      </c>
      <c r="DI9" s="202">
        <f>VLOOKUP(DD2,'2023'!$B$2:$F$100,3, FALSE)</f>
        <v>190</v>
      </c>
      <c r="DJ9" s="75">
        <f>VLOOKUP(DD2,'2023'!$B$2:$F$100,5, FALSE)</f>
        <v>11</v>
      </c>
      <c r="DK9" s="209">
        <f>VLOOKUP(DD2,'Weekly Wins'!$AB$3:$AC$100,2, FALSE)</f>
        <v>1</v>
      </c>
      <c r="DM9" s="35"/>
      <c r="DN9" s="35"/>
      <c r="DO9" s="35"/>
      <c r="DP9" s="35"/>
      <c r="DQ9" s="35"/>
      <c r="DR9" s="35"/>
      <c r="DS9" s="35"/>
      <c r="DT9" s="35"/>
      <c r="DV9" s="208">
        <v>2023</v>
      </c>
      <c r="DW9" s="75" t="str">
        <f>INDEX('2023'!$A$2:$A$100,MATCH(DV2,'2023'!$B$2:$B$100,0))</f>
        <v>12th</v>
      </c>
      <c r="DX9" s="200">
        <f t="shared" si="8"/>
        <v>0.52241379310344827</v>
      </c>
      <c r="DY9" s="201">
        <f>VLOOKUP(DV2,'2023'!$B$2:$F$100,2, FALSE)</f>
        <v>151.5</v>
      </c>
      <c r="DZ9" s="75" t="s">
        <v>175</v>
      </c>
      <c r="EA9" s="202">
        <f>VLOOKUP(DV2,'2023'!$B$2:$F$100,3, FALSE)</f>
        <v>290</v>
      </c>
      <c r="EB9" s="75">
        <v>15</v>
      </c>
      <c r="EC9" s="209">
        <f>VLOOKUP(DV2,'Weekly Wins'!$AB$3:$AC$100,2, FALSE)</f>
        <v>0</v>
      </c>
      <c r="EE9" s="208">
        <v>2022</v>
      </c>
      <c r="EF9" s="75" t="str">
        <f>INDEX('2022'!$A$2:$A$100,MATCH(EE2,'2022'!$B$2:$B$100,0))</f>
        <v>28th/2nd*</v>
      </c>
      <c r="EG9" s="200">
        <f>EH9/EJ9</f>
        <v>0.47985347985347987</v>
      </c>
      <c r="EH9" s="201">
        <f>VLOOKUP(EE2,'2022'!$B$2:$F$100,2, FALSE)</f>
        <v>131</v>
      </c>
      <c r="EI9" s="75" t="s">
        <v>175</v>
      </c>
      <c r="EJ9" s="202">
        <f>VLOOKUP(EE2,'2022'!$B$2:$F$100,3, FALSE)</f>
        <v>273</v>
      </c>
      <c r="EK9" s="75">
        <f>VLOOKUP(EE2,'2022'!$B$2:$F$100,5, FALSE)</f>
        <v>12.5</v>
      </c>
      <c r="EL9" s="209">
        <f>VLOOKUP(EE2,'Weekly Wins'!$AE$3:$AF$100,2, FALSE)</f>
        <v>0</v>
      </c>
      <c r="EW9" s="208">
        <v>2023</v>
      </c>
      <c r="EX9" s="75" t="str">
        <f>INDEX('2023'!$A$2:$A$100,MATCH(EW2,'2023'!$B$2:$B$100,0))</f>
        <v>32nd</v>
      </c>
      <c r="EY9" s="200">
        <f t="shared" si="11"/>
        <v>0.48103448275862071</v>
      </c>
      <c r="EZ9" s="201">
        <f>VLOOKUP(EW2,'2023'!$B$2:$F$100,2, FALSE)</f>
        <v>139.5</v>
      </c>
      <c r="FA9" s="75" t="s">
        <v>175</v>
      </c>
      <c r="FB9" s="202">
        <f>VLOOKUP(EW2,'2023'!$B$2:$F$100,3, FALSE)</f>
        <v>290</v>
      </c>
      <c r="FC9" s="75">
        <f>VLOOKUP(EW2,'2023'!$B$2:$F$100,5, FALSE)</f>
        <v>15</v>
      </c>
      <c r="FD9" s="209">
        <f>VLOOKUP(EW2,'Weekly Wins'!$AB$3:$AC$100,2, FALSE)</f>
        <v>0</v>
      </c>
      <c r="FF9" s="208">
        <v>2023</v>
      </c>
      <c r="FG9" s="75" t="str">
        <f>INDEX('2023'!$A$2:$A$100,MATCH(FF2,'2023'!$B$2:$B$100,0))</f>
        <v>34th</v>
      </c>
      <c r="FH9" s="200">
        <f t="shared" si="12"/>
        <v>0.45689655172413796</v>
      </c>
      <c r="FI9" s="201">
        <f>VLOOKUP(FF2,'2023'!$B$2:$F$100,2, FALSE)</f>
        <v>132.5</v>
      </c>
      <c r="FJ9" s="75" t="s">
        <v>175</v>
      </c>
      <c r="FK9" s="202">
        <f>VLOOKUP(FF2,'2023'!$B$2:$F$100,3, FALSE)</f>
        <v>290</v>
      </c>
      <c r="FL9" s="75">
        <f>VLOOKUP(FF2,'2023'!$B$2:$F$100,5, FALSE)</f>
        <v>12</v>
      </c>
      <c r="FM9" s="209">
        <f>VLOOKUP(FF2,'Weekly Wins'!$AB$3:$AC$100,2, FALSE)</f>
        <v>0</v>
      </c>
      <c r="FN9" s="35"/>
      <c r="FO9" s="208">
        <v>2023</v>
      </c>
      <c r="FP9" s="75" t="str">
        <f>INDEX('2023'!$A$2:$A$100,MATCH(FO2,'2023'!$B$2:$B$100,0))</f>
        <v>15th</v>
      </c>
      <c r="FQ9" s="200">
        <f t="shared" si="13"/>
        <v>0.51896551724137929</v>
      </c>
      <c r="FR9" s="201">
        <f>VLOOKUP(FO2,'2023'!$B$2:$F$100,2, FALSE)</f>
        <v>150.5</v>
      </c>
      <c r="FS9" s="75" t="s">
        <v>175</v>
      </c>
      <c r="FT9" s="202">
        <f>VLOOKUP(FO2,'2023'!$B$2:$F$100,3, FALSE)</f>
        <v>290</v>
      </c>
      <c r="FU9" s="75">
        <f>VLOOKUP(FO2,'2023'!$B$2:$F$100,5, FALSE)</f>
        <v>15</v>
      </c>
      <c r="FV9" s="209">
        <f>VLOOKUP(FO2,'Weekly Wins'!$AB$3:$AC$100,2, FALSE)</f>
        <v>0.25</v>
      </c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210">
        <f>COUNT(GG5:GG8)</f>
        <v>3</v>
      </c>
      <c r="GH9" s="211" t="s">
        <v>352</v>
      </c>
      <c r="GI9" s="212">
        <f>GJ9/GL9</f>
        <v>0.46879999999999999</v>
      </c>
      <c r="GJ9" s="213">
        <f>SUM(GJ5:GJ8)</f>
        <v>293</v>
      </c>
      <c r="GK9" s="214" t="s">
        <v>175</v>
      </c>
      <c r="GL9" s="211">
        <f>SUM(GL5:GL8)</f>
        <v>625</v>
      </c>
      <c r="GM9" s="214">
        <f>SUM(GM5:GM8)</f>
        <v>24.5</v>
      </c>
      <c r="GN9" s="215">
        <f>SUM(GN5:GN8)</f>
        <v>1</v>
      </c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208">
        <v>2023</v>
      </c>
      <c r="HI9" s="75" t="str">
        <f>INDEX('2023'!$A$2:$A$100,MATCH(HH2,'2023'!$B$2:$B$100,0))</f>
        <v>16th</v>
      </c>
      <c r="HJ9" s="200">
        <f t="shared" si="18"/>
        <v>0.51551724137931032</v>
      </c>
      <c r="HK9" s="201">
        <f>VLOOKUP(HH2,'2023'!$B$2:$F$100,2, FALSE)</f>
        <v>149.5</v>
      </c>
      <c r="HL9" s="75" t="s">
        <v>175</v>
      </c>
      <c r="HM9" s="202">
        <f>VLOOKUP(HH2,'2023'!$B$2:$F$100,3, FALSE)</f>
        <v>290</v>
      </c>
      <c r="HN9" s="75">
        <f>VLOOKUP(HH2,'2023'!$B$2:$F$100,5, FALSE)</f>
        <v>21.5</v>
      </c>
      <c r="HO9" s="209">
        <f>VLOOKUP(HH2,'Weekly Wins'!$AB$3:$AC$100,2, FALSE)</f>
        <v>0.33333333333333331</v>
      </c>
      <c r="HP9" s="35"/>
      <c r="HQ9" s="210">
        <f>COUNT(HQ5:HQ8)</f>
        <v>3</v>
      </c>
      <c r="HR9" s="211" t="s">
        <v>352</v>
      </c>
      <c r="HS9" s="212">
        <f>HT9/HV9</f>
        <v>0.50516129032258061</v>
      </c>
      <c r="HT9" s="213">
        <f>SUM(HT5:HT8)</f>
        <v>391.5</v>
      </c>
      <c r="HU9" s="214" t="s">
        <v>175</v>
      </c>
      <c r="HV9" s="211">
        <f>SUM(HV5:HV8)</f>
        <v>775</v>
      </c>
      <c r="HW9" s="214">
        <f>SUM(HW5:HW8)</f>
        <v>50</v>
      </c>
      <c r="HX9" s="215">
        <f>SUM(HX5:HX8)</f>
        <v>1.7928571428571427</v>
      </c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</row>
    <row r="10" spans="1:259" ht="15.75" thickBot="1" x14ac:dyDescent="0.3">
      <c r="A10" s="35"/>
      <c r="B10" s="208">
        <v>2022</v>
      </c>
      <c r="C10" s="75" t="str">
        <f>INDEX('2022'!$A$2:$A$100,MATCH(B2,'2022'!$B$2:$B$100,0))</f>
        <v>12th</v>
      </c>
      <c r="D10" s="200">
        <f t="shared" si="0"/>
        <v>0.4879310344827586</v>
      </c>
      <c r="E10" s="201">
        <f>VLOOKUP(B2,'2022'!$B$2:$F$100,2, FALSE)</f>
        <v>141.5</v>
      </c>
      <c r="F10" s="75" t="s">
        <v>175</v>
      </c>
      <c r="G10" s="202">
        <f>VLOOKUP(B2,'2022'!$B$2:$F$100,3, FALSE)</f>
        <v>290</v>
      </c>
      <c r="H10" s="75">
        <f>VLOOKUP(B2,'2022'!$B$2:$F$100,5, FALSE)</f>
        <v>17.5</v>
      </c>
      <c r="I10" s="209">
        <f>VLOOKUP(B2,'Weekly Wins'!$AE$3:$AF$100,2, FALSE)</f>
        <v>0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208">
        <v>2022</v>
      </c>
      <c r="AK10" s="75" t="str">
        <f>INDEX('2022'!$A$2:$A$100,MATCH(AJ2,'2022'!$B$2:$B$100,0))</f>
        <v>27th</v>
      </c>
      <c r="AL10" s="200">
        <f t="shared" si="1"/>
        <v>0.45689655172413796</v>
      </c>
      <c r="AM10" s="201">
        <f>VLOOKUP(AJ2,'2022'!$B$2:$F$100,2, FALSE)</f>
        <v>132.5</v>
      </c>
      <c r="AN10" s="75" t="s">
        <v>175</v>
      </c>
      <c r="AO10" s="202">
        <f>VLOOKUP(AJ2,'2022'!$B$2:$F$100,3, FALSE)</f>
        <v>290</v>
      </c>
      <c r="AP10" s="75">
        <f>VLOOKUP(AJ2,'2022'!$B$2:$F$100,5, FALSE)</f>
        <v>11.5</v>
      </c>
      <c r="AQ10" s="209">
        <f>VLOOKUP(AJ2,'Weekly Wins'!$AE$3:$AF$100,2, FALSE)</f>
        <v>1</v>
      </c>
      <c r="AR10" s="35"/>
      <c r="AS10" s="208">
        <v>2022</v>
      </c>
      <c r="AT10" s="75" t="str">
        <f>INDEX('2022'!$A$2:$A$100,MATCH(AS2,'2022'!$B$2:$B$100,0))</f>
        <v>2nd</v>
      </c>
      <c r="AU10" s="200">
        <f t="shared" si="2"/>
        <v>0.52586206896551724</v>
      </c>
      <c r="AV10" s="201">
        <f>VLOOKUP(AS2,'2022'!$B$2:$F$100,2, FALSE)</f>
        <v>152.5</v>
      </c>
      <c r="AW10" s="75" t="s">
        <v>175</v>
      </c>
      <c r="AX10" s="202">
        <f>VLOOKUP(AS2,'2022'!$B$2:$F$100,3, FALSE)</f>
        <v>290</v>
      </c>
      <c r="AY10" s="75">
        <f>VLOOKUP(AS2,'2022'!$B$2:$F$100,5, FALSE)</f>
        <v>19</v>
      </c>
      <c r="AZ10" s="209">
        <f>VLOOKUP(AS2,'Weekly Wins'!$AE$3:$AF$100,2, FALSE)</f>
        <v>1.3333333333333333</v>
      </c>
      <c r="BA10" s="35"/>
      <c r="BB10" s="208">
        <v>2022</v>
      </c>
      <c r="BC10" s="75" t="str">
        <f>INDEX('2022'!$A$2:$A$100,MATCH(BB2,'2022'!$B$2:$B$100,0))</f>
        <v>22nd</v>
      </c>
      <c r="BD10" s="200">
        <f t="shared" si="3"/>
        <v>0.46034482758620687</v>
      </c>
      <c r="BE10" s="201">
        <f>VLOOKUP(BB2,'2022'!$B$2:$F$100,2, FALSE)</f>
        <v>133.5</v>
      </c>
      <c r="BF10" s="75" t="s">
        <v>175</v>
      </c>
      <c r="BG10" s="202">
        <f>VLOOKUP(BB2,'2022'!$B$2:$F$100,3, FALSE)</f>
        <v>290</v>
      </c>
      <c r="BH10" s="75">
        <f>VLOOKUP(BB2,'2022'!$B$2:$F$100,5, FALSE)</f>
        <v>17.5</v>
      </c>
      <c r="BI10" s="209">
        <f>VLOOKUP(BB2,'Weekly Wins'!$AE$3:$AF$100,2, FALSE)</f>
        <v>0.5</v>
      </c>
      <c r="BJ10" s="35"/>
      <c r="BK10" s="208">
        <v>2022</v>
      </c>
      <c r="BL10" s="75" t="str">
        <f>INDEX('2022'!$A$2:$A$100,MATCH(BK2,'2022'!$B$2:$B$100,0))</f>
        <v>24th</v>
      </c>
      <c r="BM10" s="200">
        <f t="shared" si="4"/>
        <v>0.45689655172413796</v>
      </c>
      <c r="BN10" s="201">
        <f>VLOOKUP(BK2,'2022'!$B$2:$F$100,2, FALSE)</f>
        <v>132.5</v>
      </c>
      <c r="BO10" s="75" t="s">
        <v>175</v>
      </c>
      <c r="BP10" s="202">
        <f>VLOOKUP(BK2,'2022'!$B$2:$F$100,3, FALSE)</f>
        <v>290</v>
      </c>
      <c r="BQ10" s="75">
        <f>VLOOKUP(BK2,'2022'!$B$2:$F$100,5, FALSE)</f>
        <v>17</v>
      </c>
      <c r="BR10" s="209">
        <f>VLOOKUP(BK2,'Weekly Wins'!$AE$3:$AF$100,2, FALSE)</f>
        <v>0</v>
      </c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208">
        <v>2022</v>
      </c>
      <c r="CD10" s="75" t="str">
        <f>INDEX('2022'!$A$2:$A$100,MATCH(CC2,'2022'!$B$2:$B$100,0))</f>
        <v>12th</v>
      </c>
      <c r="CE10" s="200">
        <f t="shared" si="5"/>
        <v>0.4879310344827586</v>
      </c>
      <c r="CF10" s="201">
        <f>VLOOKUP(CC2,'2022'!$B$2:$F$100,2, FALSE)</f>
        <v>141.5</v>
      </c>
      <c r="CG10" s="75" t="s">
        <v>175</v>
      </c>
      <c r="CH10" s="202">
        <f>VLOOKUP(CC2,'2022'!$B$2:$F$100,3, FALSE)</f>
        <v>290</v>
      </c>
      <c r="CI10" s="75">
        <f>VLOOKUP(CC2,'2022'!$B$2:$F$100,5, FALSE)</f>
        <v>17.5</v>
      </c>
      <c r="CJ10" s="209">
        <f>VLOOKUP(CC2,'Weekly Wins'!$AE$3:$AF$100,2, FALSE)</f>
        <v>0</v>
      </c>
      <c r="CK10" s="35"/>
      <c r="CL10" s="208">
        <v>2022</v>
      </c>
      <c r="CM10" s="75" t="str">
        <f>INDEX('2022'!$A$2:$A$100,MATCH(CL2,'2022'!$B$2:$B$100,0))</f>
        <v>25th</v>
      </c>
      <c r="CN10" s="200">
        <f t="shared" si="6"/>
        <v>0.45689655172413796</v>
      </c>
      <c r="CO10" s="201">
        <f>VLOOKUP(CL2,'2022'!$B$2:$F$100,2, FALSE)</f>
        <v>132.5</v>
      </c>
      <c r="CP10" s="75" t="s">
        <v>175</v>
      </c>
      <c r="CQ10" s="202">
        <f>VLOOKUP(CL2,'2022'!$B$2:$F$100,3, FALSE)</f>
        <v>290</v>
      </c>
      <c r="CR10" s="75">
        <f>VLOOKUP(CL2,'2022'!$B$2:$F$100,5, FALSE)</f>
        <v>14.5</v>
      </c>
      <c r="CS10" s="209">
        <f>VLOOKUP(CL2,'Weekly Wins'!$AE$3:$AF$100,2, FALSE)</f>
        <v>1.3333333333333333</v>
      </c>
      <c r="CU10" s="208">
        <v>2022</v>
      </c>
      <c r="CV10" s="75" t="str">
        <f>INDEX('2022'!$A$2:$A$100,MATCH(CU2,'2022'!$B$2:$B$100,0))</f>
        <v>29th</v>
      </c>
      <c r="CW10" s="200">
        <f t="shared" si="7"/>
        <v>0.45</v>
      </c>
      <c r="CX10" s="201">
        <f>VLOOKUP(CU2,'2022'!$B$2:$F$100,2, FALSE)</f>
        <v>130.5</v>
      </c>
      <c r="CY10" s="75" t="s">
        <v>175</v>
      </c>
      <c r="CZ10" s="202">
        <f>VLOOKUP(CU2,'2022'!$B$2:$F$100,3, FALSE)</f>
        <v>290</v>
      </c>
      <c r="DA10" s="75">
        <f>VLOOKUP(CU2,'2022'!$B$2:$F$100,5, FALSE)</f>
        <v>19.5</v>
      </c>
      <c r="DB10" s="209">
        <f>VLOOKUP(CU2,'Weekly Wins'!$AE$3:$AF$100,2, FALSE)</f>
        <v>0</v>
      </c>
      <c r="DD10" s="210">
        <f>COUNT(DD5:DD9)</f>
        <v>4</v>
      </c>
      <c r="DE10" s="211" t="s">
        <v>352</v>
      </c>
      <c r="DF10" s="212">
        <f t="shared" ref="DF10" si="24">DG10/DI10</f>
        <v>0.50207253886010361</v>
      </c>
      <c r="DG10" s="213">
        <f>SUM(DG5:DG9)</f>
        <v>484.5</v>
      </c>
      <c r="DH10" s="214" t="s">
        <v>175</v>
      </c>
      <c r="DI10" s="211">
        <f>SUM(DI5:DI9)</f>
        <v>965</v>
      </c>
      <c r="DJ10" s="214">
        <f>SUM(DJ5:DJ9)</f>
        <v>57</v>
      </c>
      <c r="DK10" s="215">
        <f>SUM(DK5:DK9)</f>
        <v>2</v>
      </c>
      <c r="DM10" s="35"/>
      <c r="DN10" s="35"/>
      <c r="DO10" s="35"/>
      <c r="DP10" s="35"/>
      <c r="DQ10" s="35"/>
      <c r="DR10" s="35"/>
      <c r="DS10" s="35"/>
      <c r="DT10" s="35"/>
      <c r="DV10" s="208">
        <v>2022</v>
      </c>
      <c r="DW10" s="75" t="str">
        <f>INDEX('2022'!$A$2:$A$100,MATCH(DV2,'2022'!$B$2:$B$100,0))</f>
        <v>14th</v>
      </c>
      <c r="DX10" s="200">
        <f t="shared" si="8"/>
        <v>0.48448275862068968</v>
      </c>
      <c r="DY10" s="201">
        <f>VLOOKUP(DV2,'2022'!$B$2:$F$100,2, FALSE)</f>
        <v>140.5</v>
      </c>
      <c r="DZ10" s="75" t="s">
        <v>175</v>
      </c>
      <c r="EA10" s="202">
        <f>VLOOKUP(DV2,'2022'!$B$2:$F$100,3, FALSE)</f>
        <v>290</v>
      </c>
      <c r="EB10" s="75">
        <f>VLOOKUP(DV2,'2022'!$B$2:$F$100,5, FALSE)</f>
        <v>16</v>
      </c>
      <c r="EC10" s="209">
        <f>VLOOKUP(DV2,'Weekly Wins'!$AE$3:$AF$100,2, FALSE)</f>
        <v>0</v>
      </c>
      <c r="EE10" s="210">
        <f>COUNT(EE5:EE9)</f>
        <v>4</v>
      </c>
      <c r="EF10" s="211" t="s">
        <v>352</v>
      </c>
      <c r="EG10" s="212">
        <f>EH10/EJ10</f>
        <v>0.48005698005698005</v>
      </c>
      <c r="EH10" s="213">
        <f>SUM(EH5:EH9)</f>
        <v>505.5</v>
      </c>
      <c r="EI10" s="214" t="s">
        <v>175</v>
      </c>
      <c r="EJ10" s="211">
        <f>SUM(EJ5:EJ9)</f>
        <v>1053</v>
      </c>
      <c r="EK10" s="214">
        <f>SUM(EK5:EK9)</f>
        <v>46.5</v>
      </c>
      <c r="EL10" s="215">
        <f>SUM(EL5:EL9)</f>
        <v>0</v>
      </c>
      <c r="EW10" s="208">
        <v>2022</v>
      </c>
      <c r="EX10" s="75" t="str">
        <f>INDEX('2022'!$A$2:$A$100,MATCH(EW2,'2022'!$B$2:$B$100,0))</f>
        <v>30th</v>
      </c>
      <c r="EY10" s="200">
        <f t="shared" si="11"/>
        <v>0.45</v>
      </c>
      <c r="EZ10" s="201">
        <f>VLOOKUP(EW2,'2022'!$B$2:$F$100,2, FALSE)</f>
        <v>130.5</v>
      </c>
      <c r="FA10" s="75" t="s">
        <v>175</v>
      </c>
      <c r="FB10" s="202">
        <f>VLOOKUP(EW2,'2022'!$B$2:$F$100,3, FALSE)</f>
        <v>290</v>
      </c>
      <c r="FC10" s="75">
        <f>VLOOKUP(EW2,'2022'!$B$2:$F$100,5, FALSE)</f>
        <v>13.5</v>
      </c>
      <c r="FD10" s="209">
        <f>VLOOKUP(EW2,'Weekly Wins'!$AE$3:$AF$100,2, FALSE)</f>
        <v>0</v>
      </c>
      <c r="FF10" s="210">
        <f>COUNT(FF5:FF9)</f>
        <v>4</v>
      </c>
      <c r="FG10" s="211" t="s">
        <v>352</v>
      </c>
      <c r="FH10" s="212">
        <f>FI10/FK10</f>
        <v>0.45023474178403755</v>
      </c>
      <c r="FI10" s="213">
        <f>SUM(FI5:FI9)</f>
        <v>479.5</v>
      </c>
      <c r="FJ10" s="214" t="s">
        <v>175</v>
      </c>
      <c r="FK10" s="211">
        <f>SUM(FK5:FK9)</f>
        <v>1065</v>
      </c>
      <c r="FL10" s="214">
        <f>SUM(FL5:FL9)</f>
        <v>54</v>
      </c>
      <c r="FM10" s="215">
        <f>SUM(FM5:FM9)</f>
        <v>0.25</v>
      </c>
      <c r="FN10" s="35"/>
      <c r="FO10" s="210">
        <f>COUNT(FO5:FO9)</f>
        <v>4</v>
      </c>
      <c r="FP10" s="211" t="s">
        <v>352</v>
      </c>
      <c r="FQ10" s="212">
        <f>FR10/FT10</f>
        <v>0.49330143540669857</v>
      </c>
      <c r="FR10" s="213">
        <f>SUM(FR5:FR9)</f>
        <v>515.5</v>
      </c>
      <c r="FS10" s="214" t="s">
        <v>175</v>
      </c>
      <c r="FT10" s="211">
        <f>SUM(FT5:FT9)</f>
        <v>1045</v>
      </c>
      <c r="FU10" s="214">
        <f>SUM(FU5:FU9)</f>
        <v>57.5</v>
      </c>
      <c r="FV10" s="215">
        <f>SUM(FV5:FV9)</f>
        <v>0.83333333333333326</v>
      </c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208">
        <v>2022</v>
      </c>
      <c r="HI10" s="75" t="str">
        <f>INDEX('2022'!$A$2:$A$100,MATCH(HH2,'2022'!$B$2:$B$100,0))</f>
        <v>19th</v>
      </c>
      <c r="HJ10" s="200">
        <f t="shared" si="18"/>
        <v>0.47413793103448276</v>
      </c>
      <c r="HK10" s="201">
        <f>VLOOKUP(HH2,'2022'!$B$2:$F$100,2, FALSE)</f>
        <v>137.5</v>
      </c>
      <c r="HL10" s="75" t="s">
        <v>175</v>
      </c>
      <c r="HM10" s="202">
        <f>VLOOKUP(HH2,'2022'!$B$2:$F$100,3, FALSE)</f>
        <v>290</v>
      </c>
      <c r="HN10" s="75">
        <f>VLOOKUP(HH2,'2022'!$B$2:$F$100,5, FALSE)</f>
        <v>11</v>
      </c>
      <c r="HO10" s="209">
        <f>VLOOKUP(HH2,'Weekly Wins'!$AE$3:$AF$100,2, FALSE)</f>
        <v>0</v>
      </c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</row>
    <row r="11" spans="1:259" ht="15.75" thickBot="1" x14ac:dyDescent="0.3">
      <c r="A11" s="35"/>
      <c r="B11" s="208">
        <v>2021</v>
      </c>
      <c r="C11" s="75" t="str">
        <f>INDEX('2021'!$A$2:$A$100,MATCH(B2,'2021'!$B$2:$B$100,0))</f>
        <v>11th</v>
      </c>
      <c r="D11" s="200">
        <f t="shared" si="0"/>
        <v>0.50520833333333337</v>
      </c>
      <c r="E11" s="201">
        <f>VLOOKUP(B2,'2021'!$B$2:$F$100,2, FALSE)</f>
        <v>145.5</v>
      </c>
      <c r="F11" s="75" t="s">
        <v>175</v>
      </c>
      <c r="G11" s="202">
        <f>VLOOKUP(B2,'2021'!$B$2:$F$100,3, FALSE)</f>
        <v>288</v>
      </c>
      <c r="H11" s="75">
        <f>VLOOKUP(B2,'2021'!$B$2:$F$100,5, FALSE)</f>
        <v>14</v>
      </c>
      <c r="I11" s="209">
        <f>VLOOKUP(B2,'Weekly Wins'!$AH$3:$AI$100,2, FALSE)</f>
        <v>0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208">
        <v>2021</v>
      </c>
      <c r="AK11" s="75" t="str">
        <f>INDEX('2021'!$A$2:$A$100,MATCH(AJ2,'2021'!$B$2:$B$100,0))</f>
        <v>26th</v>
      </c>
      <c r="AL11" s="200">
        <f t="shared" si="1"/>
        <v>0.4357638888888889</v>
      </c>
      <c r="AM11" s="201">
        <f>VLOOKUP(AJ2,'2021'!$B$2:$F$100,2, FALSE)</f>
        <v>125.5</v>
      </c>
      <c r="AN11" s="75" t="s">
        <v>175</v>
      </c>
      <c r="AO11" s="202">
        <f>VLOOKUP(AJ2,'2021'!$B$2:$F$100,3, FALSE)</f>
        <v>288</v>
      </c>
      <c r="AP11" s="75">
        <f>VLOOKUP(AJ2,'2021'!$B$2:$F$100,5, FALSE)</f>
        <v>12.5</v>
      </c>
      <c r="AQ11" s="209">
        <f>VLOOKUP(AJ2,'Weekly Wins'!$AH$3:$AI$100,2, FALSE)</f>
        <v>0</v>
      </c>
      <c r="AR11" s="35"/>
      <c r="AS11" s="208">
        <v>2021</v>
      </c>
      <c r="AT11" s="75" t="str">
        <f>INDEX('2021'!$A$2:$A$100,MATCH(AS2,'2021'!$B$2:$B$100,0))</f>
        <v>3rd</v>
      </c>
      <c r="AU11" s="200">
        <f t="shared" si="2"/>
        <v>0.53298611111111116</v>
      </c>
      <c r="AV11" s="201">
        <f>VLOOKUP(AS2,'2021'!$B$2:$F$100,2, FALSE)</f>
        <v>153.5</v>
      </c>
      <c r="AW11" s="75" t="s">
        <v>175</v>
      </c>
      <c r="AX11" s="202">
        <f>VLOOKUP(AS2,'2021'!$B$2:$F$100,3, FALSE)</f>
        <v>288</v>
      </c>
      <c r="AY11" s="75">
        <f>VLOOKUP(AS2,'2021'!$B$2:$F$100,5, FALSE)</f>
        <v>14.5</v>
      </c>
      <c r="AZ11" s="209">
        <f>VLOOKUP(AS2,'Weekly Wins'!$AH$3:$AI$100,2, FALSE)</f>
        <v>1</v>
      </c>
      <c r="BA11" s="35"/>
      <c r="BB11" s="208">
        <v>2021</v>
      </c>
      <c r="BC11" s="75" t="str">
        <f>INDEX('2021'!$A$2:$A$100,MATCH(BB2,'2021'!$B$2:$B$100,0))</f>
        <v>12th</v>
      </c>
      <c r="BD11" s="200">
        <f t="shared" si="3"/>
        <v>0.50173611111111116</v>
      </c>
      <c r="BE11" s="201">
        <f>VLOOKUP(BB2,'2021'!$B$2:$F$100,2, FALSE)</f>
        <v>144.5</v>
      </c>
      <c r="BF11" s="75" t="s">
        <v>175</v>
      </c>
      <c r="BG11" s="202">
        <f>VLOOKUP(BB2,'2021'!$B$2:$F$100,3, FALSE)</f>
        <v>288</v>
      </c>
      <c r="BH11" s="75">
        <f>VLOOKUP(BB2,'2021'!$B$2:$F$100,5, FALSE)</f>
        <v>21</v>
      </c>
      <c r="BI11" s="209">
        <f>VLOOKUP(BB2,'Weekly Wins'!$AH$3:$AI$100,2, FALSE)</f>
        <v>0.5</v>
      </c>
      <c r="BJ11" s="35"/>
      <c r="BK11" s="208">
        <v>2021</v>
      </c>
      <c r="BL11" s="75" t="str">
        <f>INDEX('2021'!$A$2:$A$100,MATCH(BK2,'2021'!$B$2:$B$100,0))</f>
        <v>21st</v>
      </c>
      <c r="BM11" s="200">
        <f t="shared" si="4"/>
        <v>0.484375</v>
      </c>
      <c r="BN11" s="201">
        <f>VLOOKUP(BK2,'2021'!$B$2:$F$100,2, FALSE)</f>
        <v>139.5</v>
      </c>
      <c r="BO11" s="75" t="s">
        <v>175</v>
      </c>
      <c r="BP11" s="202">
        <f>VLOOKUP(BK2,'2021'!$B$2:$F$100,3, FALSE)</f>
        <v>288</v>
      </c>
      <c r="BQ11" s="75">
        <f>VLOOKUP(BK2,'2021'!$B$2:$F$100,5, FALSE)</f>
        <v>11</v>
      </c>
      <c r="BR11" s="209">
        <f>VLOOKUP(BK2,'Weekly Wins'!$AH$3:$AI$100,2, FALSE)</f>
        <v>0.5</v>
      </c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208">
        <v>2021</v>
      </c>
      <c r="CD11" s="75" t="str">
        <f>INDEX('2021'!$A$2:$A$100,MATCH(CC2,'2021'!$B$2:$B$100,0))</f>
        <v>11th</v>
      </c>
      <c r="CE11" s="200">
        <f t="shared" si="5"/>
        <v>0.50520833333333337</v>
      </c>
      <c r="CF11" s="201">
        <f>VLOOKUP(CC2,'2021'!$B$2:$F$100,2, FALSE)</f>
        <v>145.5</v>
      </c>
      <c r="CG11" s="75" t="s">
        <v>175</v>
      </c>
      <c r="CH11" s="202">
        <f>VLOOKUP(CC2,'2021'!$B$2:$F$100,3, FALSE)</f>
        <v>288</v>
      </c>
      <c r="CI11" s="75">
        <f>VLOOKUP(CC2,'2021'!$B$2:$F$100,5, FALSE)</f>
        <v>14</v>
      </c>
      <c r="CJ11" s="209">
        <f>VLOOKUP(CC2,'Weekly Wins'!$AH$3:$AI$100,2, FALSE)</f>
        <v>0</v>
      </c>
      <c r="CK11" s="35"/>
      <c r="CL11" s="208">
        <v>2021</v>
      </c>
      <c r="CM11" s="75" t="str">
        <f>INDEX('2021'!$A$2:$A$100,MATCH(CL2,'2021'!$B$2:$B$100,0))</f>
        <v>23rd</v>
      </c>
      <c r="CN11" s="200">
        <f t="shared" si="6"/>
        <v>0.4704861111111111</v>
      </c>
      <c r="CO11" s="201">
        <f>VLOOKUP(CL2,'2021'!$B$2:$F$100,2, FALSE)</f>
        <v>135.5</v>
      </c>
      <c r="CP11" s="75" t="s">
        <v>175</v>
      </c>
      <c r="CQ11" s="202">
        <f>VLOOKUP(CL2,'2021'!$B$2:$F$100,3, FALSE)</f>
        <v>288</v>
      </c>
      <c r="CR11" s="75">
        <f>VLOOKUP(CL2,'2021'!$B$2:$F$100,5, FALSE)</f>
        <v>15.5</v>
      </c>
      <c r="CS11" s="209">
        <f>VLOOKUP(CL2,'Weekly Wins'!$AH$3:$AI$100,2, FALSE)</f>
        <v>0</v>
      </c>
      <c r="CU11" s="208">
        <v>2021</v>
      </c>
      <c r="CV11" s="75" t="str">
        <f>INDEX('2021'!$A$2:$A$100,MATCH(CU2,'2021'!$B$2:$B$100,0))</f>
        <v>2nd</v>
      </c>
      <c r="CW11" s="200">
        <f t="shared" si="7"/>
        <v>0.53993055555555558</v>
      </c>
      <c r="CX11" s="201">
        <f>VLOOKUP(CU2,'2021'!$B$2:$F$100,2, FALSE)</f>
        <v>155.5</v>
      </c>
      <c r="CY11" s="75" t="s">
        <v>175</v>
      </c>
      <c r="CZ11" s="202">
        <f>VLOOKUP(CU2,'2021'!$B$2:$F$100,3, FALSE)</f>
        <v>288</v>
      </c>
      <c r="DA11" s="75">
        <f>VLOOKUP(CU2,'2021'!$B$2:$F$100,5, FALSE)</f>
        <v>15</v>
      </c>
      <c r="DB11" s="209">
        <f>VLOOKUP(CU2,'Weekly Wins'!$AH$3:$AI$100,2, FALSE)</f>
        <v>1.5</v>
      </c>
      <c r="DD11" s="35"/>
      <c r="DE11" s="35"/>
      <c r="DF11" s="35"/>
      <c r="DG11" s="35"/>
      <c r="DH11" s="35"/>
      <c r="DI11" s="35"/>
      <c r="DJ11" s="35"/>
      <c r="DK11" s="35"/>
      <c r="DM11" s="35"/>
      <c r="DN11" s="35"/>
      <c r="DO11" s="35"/>
      <c r="DP11" s="35"/>
      <c r="DQ11" s="35"/>
      <c r="DR11" s="35"/>
      <c r="DS11" s="35"/>
      <c r="DT11" s="35"/>
      <c r="DV11" s="210">
        <f>COUNT(DV5:DV10)</f>
        <v>5</v>
      </c>
      <c r="DW11" s="211" t="s">
        <v>352</v>
      </c>
      <c r="DX11" s="212">
        <f>DY11/EA11</f>
        <v>0.4826568265682657</v>
      </c>
      <c r="DY11" s="213">
        <f>SUM(DY5:DY10)</f>
        <v>654</v>
      </c>
      <c r="DZ11" s="214" t="s">
        <v>175</v>
      </c>
      <c r="EA11" s="211">
        <f>SUM(EA5:EA10)</f>
        <v>1355</v>
      </c>
      <c r="EB11" s="214">
        <f>SUM(EB5:EB10)</f>
        <v>72.5</v>
      </c>
      <c r="EC11" s="215">
        <f>SUM(EC5:EC10)</f>
        <v>0.14285714285714285</v>
      </c>
      <c r="EW11" s="210">
        <f>COUNT(EW5:EW10)</f>
        <v>5</v>
      </c>
      <c r="EX11" s="211" t="s">
        <v>352</v>
      </c>
      <c r="EY11" s="212">
        <f>EZ11/FB11</f>
        <v>0.4826568265682657</v>
      </c>
      <c r="EZ11" s="213">
        <f>SUM(EZ5:EZ10)</f>
        <v>654</v>
      </c>
      <c r="FA11" s="214" t="s">
        <v>175</v>
      </c>
      <c r="FB11" s="211">
        <f>SUM(FB5:FB10)</f>
        <v>1355</v>
      </c>
      <c r="FC11" s="214">
        <f>SUM(FC5:FC10)</f>
        <v>69.5</v>
      </c>
      <c r="FD11" s="215">
        <f>SUM(FD5:FD10)</f>
        <v>0.84285714285714275</v>
      </c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208">
        <v>2021</v>
      </c>
      <c r="HI11" s="75" t="str">
        <f>INDEX('2021'!$A$2:$A$100,MATCH(HH2,'2021'!$B$2:$B$100,0))</f>
        <v>15th</v>
      </c>
      <c r="HJ11" s="200">
        <f t="shared" si="18"/>
        <v>0.4982638888888889</v>
      </c>
      <c r="HK11" s="201">
        <f>VLOOKUP(HH2,'2021'!$B$2:$F$100,2, FALSE)</f>
        <v>143.5</v>
      </c>
      <c r="HL11" s="75" t="s">
        <v>175</v>
      </c>
      <c r="HM11" s="202">
        <f>VLOOKUP(HH2,'2021'!$B$2:$F$100,3, FALSE)</f>
        <v>288</v>
      </c>
      <c r="HN11" s="75">
        <v>16.5</v>
      </c>
      <c r="HO11" s="209">
        <f>VLOOKUP(HH2,'Weekly Wins'!$AH$3:$AI$100,2, FALSE)</f>
        <v>0</v>
      </c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</row>
    <row r="12" spans="1:259" x14ac:dyDescent="0.25">
      <c r="A12" s="35"/>
      <c r="B12" s="208">
        <v>2020</v>
      </c>
      <c r="C12" s="75" t="str">
        <f>INDEX('2020'!$A$2:$A$100,MATCH(B2,'2020'!$B$2:$B$100,0))</f>
        <v>14th</v>
      </c>
      <c r="D12" s="200">
        <f t="shared" si="0"/>
        <v>0.4863013698630137</v>
      </c>
      <c r="E12" s="201">
        <f>VLOOKUP(B2,'2020'!$B$2:$F$100,2, FALSE)</f>
        <v>142</v>
      </c>
      <c r="F12" s="75" t="s">
        <v>175</v>
      </c>
      <c r="G12" s="202">
        <f>VLOOKUP(B2,'2020'!$B$2:$F$100,3, FALSE)</f>
        <v>292</v>
      </c>
      <c r="H12" s="75">
        <f>VLOOKUP(B2,'2020'!$B$2:$F$100,5, FALSE)</f>
        <v>14</v>
      </c>
      <c r="I12" s="209">
        <f>VLOOKUP(B2,'Weekly Wins'!$AK$3:$AL$100,2, FALSE)</f>
        <v>0.33333333333333331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208">
        <v>2020</v>
      </c>
      <c r="AK12" s="75" t="str">
        <f>INDEX('2020'!$A$2:$A$100,MATCH(AJ2,'2020'!$B$2:$B$100,0))</f>
        <v>2nd</v>
      </c>
      <c r="AL12" s="200">
        <f t="shared" si="1"/>
        <v>0.54452054794520544</v>
      </c>
      <c r="AM12" s="201">
        <f>VLOOKUP(AJ2,'2020'!$B$2:$F$100,2, FALSE)</f>
        <v>159</v>
      </c>
      <c r="AN12" s="75" t="s">
        <v>175</v>
      </c>
      <c r="AO12" s="202">
        <f>VLOOKUP(AJ2,'2020'!$B$2:$F$100,3, FALSE)</f>
        <v>292</v>
      </c>
      <c r="AP12" s="75">
        <f>VLOOKUP(AJ2,'2020'!$B$2:$F$100,5, FALSE)</f>
        <v>16</v>
      </c>
      <c r="AQ12" s="209">
        <f>VLOOKUP(AJ2,'Weekly Wins'!$AK$3:$AL$100,2, FALSE)</f>
        <v>0.83333333333333326</v>
      </c>
      <c r="AR12" s="35"/>
      <c r="AS12" s="208">
        <v>2020</v>
      </c>
      <c r="AT12" s="75" t="str">
        <f>INDEX('2020'!$A$2:$A$100,MATCH(AS2,'2020'!$B$2:$B$100,0))</f>
        <v>20th</v>
      </c>
      <c r="AU12" s="200">
        <f t="shared" si="2"/>
        <v>0.4589041095890411</v>
      </c>
      <c r="AV12" s="201">
        <f>VLOOKUP(AS2,'2020'!$B$2:$F$100,2, FALSE)</f>
        <v>134</v>
      </c>
      <c r="AW12" s="75" t="s">
        <v>175</v>
      </c>
      <c r="AX12" s="202">
        <f>VLOOKUP(AS2,'2020'!$B$2:$F$100,3, FALSE)</f>
        <v>292</v>
      </c>
      <c r="AY12" s="75">
        <f>VLOOKUP(AS2,'2020'!$B$2:$F$100,5, FALSE)</f>
        <v>15</v>
      </c>
      <c r="AZ12" s="209">
        <f>VLOOKUP(AS2,'Weekly Wins'!$AK$3:$AL$100,2, FALSE)</f>
        <v>1.5</v>
      </c>
      <c r="BA12" s="35"/>
      <c r="BB12" s="208">
        <v>2020</v>
      </c>
      <c r="BC12" s="75" t="str">
        <f>INDEX('2020'!$A$2:$A$100,MATCH(BB2,'2020'!$B$2:$B$100,0))</f>
        <v>11th</v>
      </c>
      <c r="BD12" s="200">
        <f t="shared" si="3"/>
        <v>0.49315068493150682</v>
      </c>
      <c r="BE12" s="201">
        <f>VLOOKUP(BB2,'2020'!$B$2:$F$100,2, FALSE)</f>
        <v>144</v>
      </c>
      <c r="BF12" s="75" t="s">
        <v>175</v>
      </c>
      <c r="BG12" s="202">
        <f>VLOOKUP(BB2,'2020'!$B$2:$F$100,3, FALSE)</f>
        <v>292</v>
      </c>
      <c r="BH12" s="75">
        <f>VLOOKUP(BB2,'2020'!$B$2:$F$100,5, FALSE)</f>
        <v>14</v>
      </c>
      <c r="BI12" s="209">
        <f>VLOOKUP(BB2,'Weekly Wins'!$AK$3:$AL$100,2, FALSE)</f>
        <v>2.3333333333333335</v>
      </c>
      <c r="BJ12" s="35"/>
      <c r="BK12" s="208">
        <v>2020</v>
      </c>
      <c r="BL12" s="75" t="str">
        <f>INDEX('2020'!$A$2:$A$100,MATCH(BK2,'2020'!$B$2:$B$100,0))</f>
        <v>9th</v>
      </c>
      <c r="BM12" s="200">
        <f t="shared" si="4"/>
        <v>0.49315068493150682</v>
      </c>
      <c r="BN12" s="201">
        <f>VLOOKUP(BK2,'2020'!$B$2:$F$100,2, FALSE)</f>
        <v>144</v>
      </c>
      <c r="BO12" s="75" t="s">
        <v>175</v>
      </c>
      <c r="BP12" s="202">
        <f>VLOOKUP(BK2,'2020'!$B$2:$F$100,3, FALSE)</f>
        <v>292</v>
      </c>
      <c r="BQ12" s="75">
        <v>16</v>
      </c>
      <c r="BR12" s="209">
        <f>VLOOKUP(BK2,'Weekly Wins'!$AK$3:$AL$100,2, FALSE)</f>
        <v>0.33333333333333331</v>
      </c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208">
        <v>2020</v>
      </c>
      <c r="CD12" s="75" t="str">
        <f>INDEX('2020'!$A$2:$A$100,MATCH(CC2,'2020'!$B$2:$B$100,0))</f>
        <v>14th</v>
      </c>
      <c r="CE12" s="200">
        <f t="shared" si="5"/>
        <v>0.4863013698630137</v>
      </c>
      <c r="CF12" s="201">
        <f>VLOOKUP(CC2,'2020'!$B$2:$F$100,2, FALSE)</f>
        <v>142</v>
      </c>
      <c r="CG12" s="75" t="s">
        <v>175</v>
      </c>
      <c r="CH12" s="202">
        <f>VLOOKUP(CC2,'2020'!$B$2:$F$100,3, FALSE)</f>
        <v>292</v>
      </c>
      <c r="CI12" s="75">
        <f>VLOOKUP(CC2,'2020'!$B$2:$F$100,5, FALSE)</f>
        <v>14</v>
      </c>
      <c r="CJ12" s="209">
        <f>VLOOKUP(CC2,'Weekly Wins'!$AK$3:$AL$100,2, FALSE)</f>
        <v>0.33333333333333331</v>
      </c>
      <c r="CK12" s="35"/>
      <c r="CL12" s="208">
        <v>2020</v>
      </c>
      <c r="CM12" s="75" t="str">
        <f>INDEX('2020'!$A$2:$A$100,MATCH(CL2,'2020'!$B$2:$B$100,0))</f>
        <v>17th</v>
      </c>
      <c r="CN12" s="200">
        <f t="shared" si="6"/>
        <v>0.47602739726027399</v>
      </c>
      <c r="CO12" s="201">
        <f>VLOOKUP(CL2,'2020'!$B$2:$F$100,2, FALSE)</f>
        <v>139</v>
      </c>
      <c r="CP12" s="75" t="s">
        <v>175</v>
      </c>
      <c r="CQ12" s="202">
        <f>VLOOKUP(CL2,'2020'!$B$2:$F$100,3, FALSE)</f>
        <v>292</v>
      </c>
      <c r="CR12" s="75">
        <f>VLOOKUP(CL2,'2020'!$B$2:$F$100,5, FALSE)</f>
        <v>16</v>
      </c>
      <c r="CS12" s="209">
        <f>VLOOKUP(CL2,'Weekly Wins'!$AK$3:$AL$100,2, FALSE)</f>
        <v>0</v>
      </c>
      <c r="CU12" s="208">
        <v>2020</v>
      </c>
      <c r="CV12" s="75" t="str">
        <f>INDEX('2020'!$A$2:$A$100,MATCH(CU2,'2020'!$B$2:$B$100,0))</f>
        <v>6th</v>
      </c>
      <c r="CW12" s="200">
        <f t="shared" si="7"/>
        <v>0.50342465753424659</v>
      </c>
      <c r="CX12" s="201">
        <f>VLOOKUP(CU2,'2020'!$B$2:$F$100,2, FALSE)</f>
        <v>147</v>
      </c>
      <c r="CY12" s="75" t="s">
        <v>175</v>
      </c>
      <c r="CZ12" s="202">
        <f>VLOOKUP(CU2,'2020'!$B$2:$F$100,3, FALSE)</f>
        <v>292</v>
      </c>
      <c r="DA12" s="75">
        <f>VLOOKUP(CU2,'2020'!$B$2:$F$100,5, FALSE)</f>
        <v>17</v>
      </c>
      <c r="DB12" s="209">
        <f>VLOOKUP(CU2,'Weekly Wins'!$AK$3:$AL$100,2, FALSE)</f>
        <v>1.5</v>
      </c>
      <c r="DD12" s="35"/>
      <c r="DE12" s="35"/>
      <c r="DF12" s="35"/>
      <c r="DG12" s="35"/>
      <c r="DH12" s="35"/>
      <c r="DI12" s="35"/>
      <c r="DJ12" s="35"/>
      <c r="DK12" s="35"/>
      <c r="DM12" s="35"/>
      <c r="DN12" s="35"/>
      <c r="DO12" s="35"/>
      <c r="DP12" s="35"/>
      <c r="DQ12" s="35"/>
      <c r="DR12" s="35"/>
      <c r="DS12" s="35"/>
      <c r="DT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208">
        <v>2020</v>
      </c>
      <c r="HI12" s="75" t="str">
        <f>INDEX('2020'!$A$2:$A$100,MATCH(HH2,'2020'!$B$2:$B$100,0))</f>
        <v>5th</v>
      </c>
      <c r="HJ12" s="200">
        <f t="shared" si="18"/>
        <v>0.50684931506849318</v>
      </c>
      <c r="HK12" s="201">
        <f>VLOOKUP(HH2,'2020'!$B$2:$F$100,2, FALSE)</f>
        <v>148</v>
      </c>
      <c r="HL12" s="75" t="s">
        <v>175</v>
      </c>
      <c r="HM12" s="202">
        <f>VLOOKUP(HH2,'2020'!$B$2:$F$100,3, FALSE)</f>
        <v>292</v>
      </c>
      <c r="HN12" s="75">
        <f>VLOOKUP(HH2,'2020'!$B$2:$F$100,5, FALSE)</f>
        <v>16</v>
      </c>
      <c r="HO12" s="209">
        <f>VLOOKUP(HH2,'Weekly Wins'!$AK$3:$AL$100,2, FALSE)</f>
        <v>0</v>
      </c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</row>
    <row r="13" spans="1:259" x14ac:dyDescent="0.25">
      <c r="A13" s="35"/>
      <c r="B13" s="208">
        <v>2019</v>
      </c>
      <c r="C13" s="75" t="str">
        <f>INDEX('2019'!$A$2:$A$100,MATCH(B2,'2019'!$B$2:$B$100,0))</f>
        <v>3rd</v>
      </c>
      <c r="D13" s="200">
        <f t="shared" si="0"/>
        <v>0.53833333333333333</v>
      </c>
      <c r="E13" s="201">
        <f>VLOOKUP(B2,'2019'!$B$2:$F$100,2, FALSE)</f>
        <v>161.5</v>
      </c>
      <c r="F13" s="75" t="s">
        <v>175</v>
      </c>
      <c r="G13" s="202">
        <f>VLOOKUP(B2,'2019'!$B$2:$F$100,3, FALSE)</f>
        <v>300</v>
      </c>
      <c r="H13" s="75">
        <f>VLOOKUP(B2,'2019'!$B$2:$F$100,5, FALSE)</f>
        <v>21.5</v>
      </c>
      <c r="I13" s="209">
        <f>VLOOKUP(B2,'Weekly Wins'!$AN$3:$AO$100,2, FALSE)</f>
        <v>0.125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208">
        <v>2017</v>
      </c>
      <c r="AK13" s="75" t="str">
        <f>INDEX('2017'!$A$2:$A$100,MATCH(AJ2,'2017'!$B$2:$B$100,0))</f>
        <v>20th</v>
      </c>
      <c r="AL13" s="200">
        <f>AM13/AO13</f>
        <v>0.47758620689655173</v>
      </c>
      <c r="AM13" s="201">
        <f>VLOOKUP(AJ2,'2017'!$B$2:$F$100,2, FALSE)</f>
        <v>138.5</v>
      </c>
      <c r="AN13" s="75" t="s">
        <v>175</v>
      </c>
      <c r="AO13" s="202">
        <f>VLOOKUP(AJ2,'2017'!$B$2:$F$100,3, FALSE)</f>
        <v>290</v>
      </c>
      <c r="AP13" s="75">
        <f>VLOOKUP(AJ2,'2017'!$B$2:$F$100,5, FALSE)</f>
        <v>15.5</v>
      </c>
      <c r="AQ13" s="209">
        <f>VLOOKUP(AJ2,'Weekly Wins'!$AT$3:$AU$100,2, FALSE)</f>
        <v>0</v>
      </c>
      <c r="AR13" s="35"/>
      <c r="AS13" s="208">
        <v>2019</v>
      </c>
      <c r="AT13" s="75" t="str">
        <f>INDEX('2019'!$A$2:$A$100,MATCH(AS2,'2019'!$B$2:$B$100,0))</f>
        <v>1st</v>
      </c>
      <c r="AU13" s="200">
        <f t="shared" si="2"/>
        <v>0.55833333333333335</v>
      </c>
      <c r="AV13" s="201">
        <f>VLOOKUP(AS2,'2019'!$B$2:$F$100,2, FALSE)</f>
        <v>167.5</v>
      </c>
      <c r="AW13" s="75" t="s">
        <v>175</v>
      </c>
      <c r="AX13" s="202">
        <f>VLOOKUP(AS2,'2019'!$B$2:$F$100,3, FALSE)</f>
        <v>300</v>
      </c>
      <c r="AY13" s="75">
        <f>VLOOKUP(AS2,'2019'!$B$2:$F$100,5, FALSE)</f>
        <v>24.5</v>
      </c>
      <c r="AZ13" s="209">
        <f>VLOOKUP(AS2,'Weekly Wins'!$AN$3:$AO$100,2, FALSE)</f>
        <v>1.125</v>
      </c>
      <c r="BA13" s="35"/>
      <c r="BB13" s="208">
        <v>2019</v>
      </c>
      <c r="BC13" s="75" t="str">
        <f>INDEX('2019'!$A$2:$A$100,MATCH(BB2,'2019'!$B$2:$B$100,0))</f>
        <v>19th</v>
      </c>
      <c r="BD13" s="200">
        <f t="shared" si="3"/>
        <v>0.47166666666666668</v>
      </c>
      <c r="BE13" s="201">
        <f>VLOOKUP(BB2,'2019'!$B$2:$F$100,2, FALSE)</f>
        <v>141.5</v>
      </c>
      <c r="BF13" s="75" t="s">
        <v>175</v>
      </c>
      <c r="BG13" s="202">
        <f>VLOOKUP(BB2,'2019'!$B$2:$F$100,3, FALSE)</f>
        <v>300</v>
      </c>
      <c r="BH13" s="75">
        <f>VLOOKUP(BB2,'2019'!$B$2:$F$100,5, FALSE)</f>
        <v>18.5</v>
      </c>
      <c r="BI13" s="209">
        <f>VLOOKUP(BB2,'Weekly Wins'!$AN$3:$AO$100,2, FALSE)</f>
        <v>0.875</v>
      </c>
      <c r="BJ13" s="35"/>
      <c r="BK13" s="208">
        <v>2019</v>
      </c>
      <c r="BL13" s="75" t="str">
        <f>INDEX('2019'!$A$2:$A$100,MATCH(BK2,'2019'!$B$2:$B$100,0))</f>
        <v>22nd</v>
      </c>
      <c r="BM13" s="200">
        <f t="shared" si="4"/>
        <v>0.44500000000000001</v>
      </c>
      <c r="BN13" s="201">
        <f>VLOOKUP(BK2,'2019'!$B$2:$F$100,2, FALSE)</f>
        <v>133.5</v>
      </c>
      <c r="BO13" s="75" t="s">
        <v>175</v>
      </c>
      <c r="BP13" s="202">
        <f>VLOOKUP(BK2,'2019'!$B$2:$F$100,3, FALSE)</f>
        <v>300</v>
      </c>
      <c r="BQ13" s="75">
        <f>VLOOKUP(BK2,'2019'!$B$2:$F$100,5, FALSE)</f>
        <v>13.5</v>
      </c>
      <c r="BR13" s="209">
        <f>VLOOKUP(BK2,'Weekly Wins'!$AN$3:$AO$100,2, FALSE)</f>
        <v>0</v>
      </c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208">
        <v>2019</v>
      </c>
      <c r="CD13" s="75" t="str">
        <f>INDEX('2019'!$A$2:$A$100,MATCH(CC2,'2019'!$B$2:$B$100,0))</f>
        <v>3rd</v>
      </c>
      <c r="CE13" s="200">
        <f t="shared" si="5"/>
        <v>0.53833333333333333</v>
      </c>
      <c r="CF13" s="201">
        <f>VLOOKUP(CC2,'2019'!$B$2:$F$100,2, FALSE)</f>
        <v>161.5</v>
      </c>
      <c r="CG13" s="75" t="s">
        <v>175</v>
      </c>
      <c r="CH13" s="202">
        <f>VLOOKUP(CC2,'2019'!$B$2:$F$100,3, FALSE)</f>
        <v>300</v>
      </c>
      <c r="CI13" s="75">
        <f>VLOOKUP(CC2,'2019'!$B$2:$F$100,5, FALSE)</f>
        <v>21.5</v>
      </c>
      <c r="CJ13" s="209">
        <f>VLOOKUP(CC2,'Weekly Wins'!$AN$3:$AO$100,2, FALSE)</f>
        <v>0.125</v>
      </c>
      <c r="CK13" s="35"/>
      <c r="CL13" s="208">
        <v>2019</v>
      </c>
      <c r="CM13" s="75" t="str">
        <f>INDEX('2019'!$A$2:$A$100,MATCH(CL2,'2019'!$B$2:$B$100,0))</f>
        <v>9th</v>
      </c>
      <c r="CN13" s="200">
        <f t="shared" si="6"/>
        <v>0.51833333333333331</v>
      </c>
      <c r="CO13" s="201">
        <f>VLOOKUP(CL2,'2019'!$B$2:$F$100,2, FALSE)</f>
        <v>155.5</v>
      </c>
      <c r="CP13" s="75" t="s">
        <v>175</v>
      </c>
      <c r="CQ13" s="202">
        <f>VLOOKUP(CL2,'2019'!$B$2:$F$100,3, FALSE)</f>
        <v>300</v>
      </c>
      <c r="CR13" s="75">
        <f>VLOOKUP(CL2,'2019'!$B$2:$F$100,5, FALSE)</f>
        <v>17</v>
      </c>
      <c r="CS13" s="209">
        <f>VLOOKUP(CL2,'Weekly Wins'!$AN$3:$AO$100,2, FALSE)</f>
        <v>1</v>
      </c>
      <c r="CU13" s="208">
        <v>2019</v>
      </c>
      <c r="CV13" s="75" t="str">
        <f>INDEX('2019'!$A$2:$A$100,MATCH(CU2,'2019'!$B$2:$B$100,0))</f>
        <v>16th</v>
      </c>
      <c r="CW13" s="200">
        <f t="shared" si="7"/>
        <v>0.48499999999999999</v>
      </c>
      <c r="CX13" s="201">
        <f>VLOOKUP(CU2,'2019'!$B$2:$F$100,2, FALSE)</f>
        <v>145.5</v>
      </c>
      <c r="CY13" s="75" t="s">
        <v>175</v>
      </c>
      <c r="CZ13" s="202">
        <f>VLOOKUP(CU2,'2019'!$B$2:$F$100,3, FALSE)</f>
        <v>300</v>
      </c>
      <c r="DA13" s="75">
        <f>VLOOKUP(CU2,'2019'!$B$2:$F$100,5, FALSE)</f>
        <v>18</v>
      </c>
      <c r="DB13" s="209">
        <f>VLOOKUP(CU2,'Weekly Wins'!$AN$3:$AO$100,2, FALSE)</f>
        <v>0.25</v>
      </c>
      <c r="DD13" s="35"/>
      <c r="DE13" s="35"/>
      <c r="DF13" s="35"/>
      <c r="DG13" s="35"/>
      <c r="DH13" s="35"/>
      <c r="DI13" s="35"/>
      <c r="DJ13" s="35"/>
      <c r="DK13" s="35"/>
      <c r="DM13" s="35"/>
      <c r="DN13" s="35"/>
      <c r="DO13" s="35"/>
      <c r="DP13" s="35"/>
      <c r="DQ13" s="35"/>
      <c r="DR13" s="35"/>
      <c r="DS13" s="35"/>
      <c r="DT13" s="35"/>
      <c r="FM13" s="35"/>
      <c r="FN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208">
        <v>2019</v>
      </c>
      <c r="HI13" s="75" t="str">
        <f>INDEX('2019'!$A$2:$A$100,MATCH(HH2,'2019'!$B$2:$B$100,0))</f>
        <v>5th</v>
      </c>
      <c r="HJ13" s="200">
        <f t="shared" si="18"/>
        <v>0.53166666666666662</v>
      </c>
      <c r="HK13" s="201">
        <f>VLOOKUP(HH2,'2019'!$B$2:$F$100,2, FALSE)</f>
        <v>159.5</v>
      </c>
      <c r="HL13" s="75" t="s">
        <v>175</v>
      </c>
      <c r="HM13" s="202">
        <f>VLOOKUP(HH2,'2019'!$B$2:$F$100,3, FALSE)</f>
        <v>300</v>
      </c>
      <c r="HN13" s="75">
        <f>VLOOKUP(HH2,'2019'!$B$2:$F$100,5, FALSE)</f>
        <v>18.5</v>
      </c>
      <c r="HO13" s="209">
        <f>VLOOKUP(HH2,'Weekly Wins'!$AN$3:$AO$100,2, FALSE)</f>
        <v>1</v>
      </c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</row>
    <row r="14" spans="1:259" x14ac:dyDescent="0.25">
      <c r="A14" s="35"/>
      <c r="B14" s="208">
        <v>2018</v>
      </c>
      <c r="C14" s="75" t="str">
        <f>INDEX('2018'!$A$2:$A$100,MATCH(B2,'2018'!$B$2:$B$100,0))</f>
        <v>11th</v>
      </c>
      <c r="D14" s="200">
        <f t="shared" si="0"/>
        <v>0.45689655172413796</v>
      </c>
      <c r="E14" s="201">
        <f>VLOOKUP(B2,'2018'!$B$2:$F$100,2, FALSE)</f>
        <v>132.5</v>
      </c>
      <c r="F14" s="75" t="s">
        <v>175</v>
      </c>
      <c r="G14" s="202">
        <f>VLOOKUP(B2,'2018'!$B$2:$F$100,3, FALSE)</f>
        <v>290</v>
      </c>
      <c r="H14" s="75">
        <f>VLOOKUP(B2,'2018'!$B$2:$F$100,5, FALSE)</f>
        <v>10.5</v>
      </c>
      <c r="I14" s="209">
        <f>VLOOKUP(B2,'Weekly Wins'!$AQ$3:$AR$100,2, FALSE)</f>
        <v>0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208">
        <v>2016</v>
      </c>
      <c r="AK14" s="75" t="str">
        <f>INDEX('2016'!$A$2:$A$100,MATCH(AJ2,'2016'!$B$2:$B$100,0))</f>
        <v>6th</v>
      </c>
      <c r="AL14" s="200">
        <f>AM14/AO14</f>
        <v>0.47586206896551725</v>
      </c>
      <c r="AM14" s="201">
        <f>VLOOKUP(AJ2,'2016'!$B$2:$F$100,2, FALSE)</f>
        <v>138</v>
      </c>
      <c r="AN14" s="75" t="s">
        <v>175</v>
      </c>
      <c r="AO14" s="202">
        <f>VLOOKUP(AJ2,'2016'!$B$2:$F$100,3, FALSE)</f>
        <v>290</v>
      </c>
      <c r="AP14" s="75">
        <f>VLOOKUP(AJ2,'2016'!$B$2:$F$100,5, FALSE)</f>
        <v>18</v>
      </c>
      <c r="AQ14" s="209">
        <f>VLOOKUP(AJ2,'Weekly Wins'!$AW$3:$AX$100,2, FALSE)</f>
        <v>1</v>
      </c>
      <c r="AR14" s="35"/>
      <c r="AS14" s="208">
        <v>2018</v>
      </c>
      <c r="AT14" s="75" t="str">
        <f>INDEX('2018'!$A$2:$A$100,MATCH(AS2,'2018'!$B$2:$B$100,0))</f>
        <v>5th</v>
      </c>
      <c r="AU14" s="200">
        <f t="shared" si="2"/>
        <v>0.48448275862068968</v>
      </c>
      <c r="AV14" s="201">
        <f>VLOOKUP(AS2,'2018'!$B$2:$F$100,2, FALSE)</f>
        <v>140.5</v>
      </c>
      <c r="AW14" s="75" t="s">
        <v>175</v>
      </c>
      <c r="AX14" s="202">
        <f>VLOOKUP(AS2,'2018'!$B$2:$F$100,3, FALSE)</f>
        <v>290</v>
      </c>
      <c r="AY14" s="75">
        <f>VLOOKUP(AS2,'2018'!$B$2:$F$100,5, FALSE)</f>
        <v>15</v>
      </c>
      <c r="AZ14" s="209">
        <f>VLOOKUP(AS2,'Weekly Wins'!$AQ$3:$AR$100,2, FALSE)</f>
        <v>2</v>
      </c>
      <c r="BA14" s="35"/>
      <c r="BB14" s="208">
        <v>2018</v>
      </c>
      <c r="BC14" s="75" t="str">
        <f>INDEX('2018'!$A$2:$A$100,MATCH(BB2,'2018'!$B$2:$B$100,0))</f>
        <v>12th</v>
      </c>
      <c r="BD14" s="200">
        <f t="shared" si="3"/>
        <v>0.45689655172413796</v>
      </c>
      <c r="BE14" s="201">
        <f>VLOOKUP(BB2,'2018'!$B$2:$F$100,2, FALSE)</f>
        <v>132.5</v>
      </c>
      <c r="BF14" s="75" t="s">
        <v>175</v>
      </c>
      <c r="BG14" s="202">
        <f>VLOOKUP(BB2,'2018'!$B$2:$F$100,3, FALSE)</f>
        <v>290</v>
      </c>
      <c r="BH14" s="75">
        <f>VLOOKUP(BB2,'2018'!$B$2:$F$100,5, FALSE)</f>
        <v>8</v>
      </c>
      <c r="BI14" s="209">
        <f>VLOOKUP(BB2,'Weekly Wins'!$AQ$3:$AR$100,2, FALSE)</f>
        <v>2.5</v>
      </c>
      <c r="BJ14" s="35"/>
      <c r="BK14" s="208">
        <v>2018</v>
      </c>
      <c r="BL14" s="75" t="str">
        <f>INDEX('2018'!$A$2:$A$100,MATCH(BK2,'2018'!$B$2:$B$100,0))</f>
        <v>18th</v>
      </c>
      <c r="BM14" s="200">
        <f t="shared" si="4"/>
        <v>0.44655172413793104</v>
      </c>
      <c r="BN14" s="201">
        <f>VLOOKUP(BK2,'2018'!$B$2:$F$100,2, FALSE)</f>
        <v>129.5</v>
      </c>
      <c r="BO14" s="75" t="s">
        <v>175</v>
      </c>
      <c r="BP14" s="202">
        <f>VLOOKUP(BK2,'2018'!$B$2:$F$100,3, FALSE)</f>
        <v>290</v>
      </c>
      <c r="BQ14" s="75">
        <f>VLOOKUP(BK2,'2018'!$B$2:$F$100,5, FALSE)</f>
        <v>12.5</v>
      </c>
      <c r="BR14" s="209">
        <f>VLOOKUP(BK2,'Weekly Wins'!$AQ$3:$AR$100,2, FALSE)</f>
        <v>1</v>
      </c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208">
        <v>2018</v>
      </c>
      <c r="CD14" s="75" t="str">
        <f>INDEX('2018'!$A$2:$A$100,MATCH(CC2,'2018'!$B$2:$B$100,0))</f>
        <v>11th</v>
      </c>
      <c r="CE14" s="200">
        <f t="shared" si="5"/>
        <v>0.45689655172413796</v>
      </c>
      <c r="CF14" s="201">
        <f>VLOOKUP(CC2,'2018'!$B$2:$F$100,2, FALSE)</f>
        <v>132.5</v>
      </c>
      <c r="CG14" s="75" t="s">
        <v>175</v>
      </c>
      <c r="CH14" s="202">
        <f>VLOOKUP(CC2,'2018'!$B$2:$F$100,3, FALSE)</f>
        <v>290</v>
      </c>
      <c r="CI14" s="75">
        <f>VLOOKUP(CC2,'2018'!$B$2:$F$100,5, FALSE)</f>
        <v>10.5</v>
      </c>
      <c r="CJ14" s="209">
        <f>VLOOKUP(CC2,'Weekly Wins'!$AQ$3:$AR$100,2, FALSE)</f>
        <v>0</v>
      </c>
      <c r="CK14" s="35"/>
      <c r="CL14" s="208">
        <v>2018</v>
      </c>
      <c r="CM14" s="75" t="str">
        <f>INDEX('2018'!$A$2:$A$100,MATCH(CL2,'2018'!$B$2:$B$100,0))</f>
        <v>2nd</v>
      </c>
      <c r="CN14" s="200">
        <f t="shared" si="6"/>
        <v>0.5051724137931034</v>
      </c>
      <c r="CO14" s="201">
        <f>VLOOKUP(CL2,'2018'!$B$2:$F$100,2, FALSE)</f>
        <v>146.5</v>
      </c>
      <c r="CP14" s="75" t="s">
        <v>175</v>
      </c>
      <c r="CQ14" s="202">
        <f>VLOOKUP(CL2,'2018'!$B$2:$F$100,3, FALSE)</f>
        <v>290</v>
      </c>
      <c r="CR14" s="75">
        <f>VLOOKUP(CL2,'2018'!$B$2:$F$100,5, FALSE)</f>
        <v>12</v>
      </c>
      <c r="CS14" s="209">
        <f>VLOOKUP(CL2,'Weekly Wins'!$AQ$3:$AR$100,2, FALSE)</f>
        <v>0</v>
      </c>
      <c r="CU14" s="208">
        <v>2018</v>
      </c>
      <c r="CV14" s="75" t="str">
        <f>INDEX('2018'!$A$2:$A$100,MATCH(CU2,'2018'!$B$2:$B$100,0))</f>
        <v>1st</v>
      </c>
      <c r="CW14" s="200">
        <f t="shared" si="7"/>
        <v>0.52241379310344827</v>
      </c>
      <c r="CX14" s="201">
        <f>VLOOKUP(CU2,'2018'!$B$2:$F$100,2, FALSE)</f>
        <v>151.5</v>
      </c>
      <c r="CY14" s="75" t="s">
        <v>175</v>
      </c>
      <c r="CZ14" s="202">
        <f>VLOOKUP(CU2,'2018'!$B$2:$F$100,3, FALSE)</f>
        <v>290</v>
      </c>
      <c r="DA14" s="75">
        <f>VLOOKUP(CU2,'2018'!$B$2:$F$100,5, FALSE)</f>
        <v>16</v>
      </c>
      <c r="DB14" s="209">
        <f>VLOOKUP(CU2,'Weekly Wins'!$AQ$3:$AR$100,2, FALSE)</f>
        <v>2.5</v>
      </c>
      <c r="DD14" s="35"/>
      <c r="DE14" s="35"/>
      <c r="DF14" s="35"/>
      <c r="DG14" s="35"/>
      <c r="DH14" s="35"/>
      <c r="DI14" s="35"/>
      <c r="DJ14" s="35"/>
      <c r="DK14" s="35"/>
      <c r="DM14" s="35"/>
      <c r="DN14" s="35"/>
      <c r="DO14" s="35"/>
      <c r="DP14" s="35"/>
      <c r="DQ14" s="35"/>
      <c r="DR14" s="35"/>
      <c r="DS14" s="35"/>
      <c r="DT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208">
        <v>2017</v>
      </c>
      <c r="HI14" s="75" t="str">
        <f>INDEX('2017'!$A$2:$A$100,MATCH(HH2,'2017'!$B$2:$B$100,0))</f>
        <v>18th</v>
      </c>
      <c r="HJ14" s="200">
        <f>HK14/HM14</f>
        <v>0.48103448275862071</v>
      </c>
      <c r="HK14" s="201">
        <f>VLOOKUP(HH2,'2017'!$B$2:$F$100,2, FALSE)</f>
        <v>139.5</v>
      </c>
      <c r="HL14" s="75" t="s">
        <v>175</v>
      </c>
      <c r="HM14" s="202">
        <f>VLOOKUP(HH2,'2017'!$B$2:$F$100,3, FALSE)</f>
        <v>290</v>
      </c>
      <c r="HN14" s="75">
        <f>VLOOKUP(HH2,'2017'!$B$2:$F$100,5, FALSE)</f>
        <v>17</v>
      </c>
      <c r="HO14" s="209">
        <f>VLOOKUP(HH2,'Weekly Wins'!$AT$3:$AU$100,2, FALSE)</f>
        <v>1.1428571428571428</v>
      </c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</row>
    <row r="15" spans="1:259" ht="15.75" thickBot="1" x14ac:dyDescent="0.3">
      <c r="A15" s="35"/>
      <c r="B15" s="208">
        <v>2017</v>
      </c>
      <c r="C15" s="75" t="str">
        <f>INDEX('2017'!$A$2:$A$100,MATCH(B2,'2017'!$B$2:$B$100,0))</f>
        <v>13th</v>
      </c>
      <c r="D15" s="200">
        <f t="shared" si="0"/>
        <v>0.49827586206896551</v>
      </c>
      <c r="E15" s="201">
        <f>VLOOKUP(B2,'2017'!$B$2:$F$100,2, FALSE)</f>
        <v>144.5</v>
      </c>
      <c r="F15" s="75" t="s">
        <v>175</v>
      </c>
      <c r="G15" s="202">
        <f>VLOOKUP(B2,'2017'!$B$2:$F$100,3, FALSE)</f>
        <v>290</v>
      </c>
      <c r="H15" s="75">
        <f>VLOOKUP(B2,'2017'!$B$2:$F$100,5, FALSE)</f>
        <v>13</v>
      </c>
      <c r="I15" s="209">
        <f>VLOOKUP(B2,'Weekly Wins'!$AT$3:$AU$100,2, FALSE)</f>
        <v>1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208">
        <v>2015</v>
      </c>
      <c r="AK15" s="75" t="str">
        <f>INDEX('2015'!$A$2:$A$100,MATCH(AJ2,'2015'!$B$2:$B$100,0))</f>
        <v>23rd**</v>
      </c>
      <c r="AL15" s="200">
        <f>AM15/AO15</f>
        <v>0.32666666666666666</v>
      </c>
      <c r="AM15" s="201">
        <f>VLOOKUP(AJ2,'2015'!$B$2:$F$100,2, FALSE)</f>
        <v>49</v>
      </c>
      <c r="AN15" s="75" t="s">
        <v>175</v>
      </c>
      <c r="AO15" s="202">
        <f>VLOOKUP(AJ2,'2015'!$B$2:$F$100,3, FALSE)</f>
        <v>150</v>
      </c>
      <c r="AP15" s="75">
        <f>VLOOKUP(AJ2,'2015'!$B$2:$F$100,5, FALSE)</f>
        <v>1</v>
      </c>
      <c r="AQ15" s="209">
        <f>VLOOKUP(AJ2,'Weekly Wins'!$AZ$3:$BA$100,2, FALSE)</f>
        <v>0</v>
      </c>
      <c r="AR15" s="35"/>
      <c r="AS15" s="208">
        <v>2017</v>
      </c>
      <c r="AT15" s="75" t="str">
        <f>INDEX('2017'!$A$2:$A$100,MATCH(AS2,'2017'!$B$2:$B$100,0))</f>
        <v>25th/1st*</v>
      </c>
      <c r="AU15" s="200">
        <f t="shared" si="2"/>
        <v>0.50198412698412698</v>
      </c>
      <c r="AV15" s="201">
        <f>VLOOKUP(AS2,'2017'!$B$2:$F$100,2, FALSE)</f>
        <v>126.5</v>
      </c>
      <c r="AW15" s="75" t="s">
        <v>175</v>
      </c>
      <c r="AX15" s="202">
        <f>VLOOKUP(AS2,'2017'!$B$2:$F$100,3, FALSE)</f>
        <v>252</v>
      </c>
      <c r="AY15" s="75">
        <f>VLOOKUP(AS2,'2017'!$B$2:$F$100,5, FALSE)</f>
        <v>13</v>
      </c>
      <c r="AZ15" s="209">
        <f>VLOOKUP(AS2,'Weekly Wins'!$AT$3:$AU$100,2, FALSE)</f>
        <v>0.64285714285714279</v>
      </c>
      <c r="BA15" s="35"/>
      <c r="BB15" s="208">
        <v>2017</v>
      </c>
      <c r="BC15" s="75" t="str">
        <f>INDEX('2017'!$A$2:$A$100,MATCH(BB2,'2017'!$B$2:$B$100,0))</f>
        <v>21st</v>
      </c>
      <c r="BD15" s="200">
        <f t="shared" si="3"/>
        <v>0.47413793103448276</v>
      </c>
      <c r="BE15" s="201">
        <f>VLOOKUP(BB2,'2017'!$B$2:$F$100,2, FALSE)</f>
        <v>137.5</v>
      </c>
      <c r="BF15" s="75" t="s">
        <v>175</v>
      </c>
      <c r="BG15" s="202">
        <f>VLOOKUP(BB2,'2017'!$B$2:$F$100,3, FALSE)</f>
        <v>290</v>
      </c>
      <c r="BH15" s="75">
        <f>VLOOKUP(BB2,'2017'!$B$2:$F$100,5, FALSE)</f>
        <v>15</v>
      </c>
      <c r="BI15" s="209">
        <f>VLOOKUP(BB2,'Weekly Wins'!$AT$3:$AU$100,2, FALSE)</f>
        <v>0</v>
      </c>
      <c r="BJ15" s="35"/>
      <c r="BK15" s="208">
        <v>2017</v>
      </c>
      <c r="BL15" s="75" t="str">
        <f>INDEX('2017'!$A$2:$A$100,MATCH(BK2,'2017'!$B$2:$B$100,0))</f>
        <v>6th</v>
      </c>
      <c r="BM15" s="200">
        <f t="shared" si="4"/>
        <v>0.5051724137931034</v>
      </c>
      <c r="BN15" s="201">
        <f>VLOOKUP(BK2,'2017'!$B$2:$F$100,2, FALSE)</f>
        <v>146.5</v>
      </c>
      <c r="BO15" s="75" t="s">
        <v>175</v>
      </c>
      <c r="BP15" s="202">
        <f>VLOOKUP(BK2,'2017'!$B$2:$F$100,3, FALSE)</f>
        <v>290</v>
      </c>
      <c r="BQ15" s="75">
        <f>VLOOKUP(BK2,'2017'!$B$2:$F$100,5, FALSE)</f>
        <v>19.5</v>
      </c>
      <c r="BR15" s="209">
        <f>VLOOKUP(BK2,'Weekly Wins'!$AT$3:$AU$100,2, FALSE)</f>
        <v>0.5</v>
      </c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208">
        <v>2017</v>
      </c>
      <c r="CD15" s="75" t="str">
        <f>INDEX('2017'!$A$2:$A$100,MATCH(CC2,'2017'!$B$2:$B$100,0))</f>
        <v>13th</v>
      </c>
      <c r="CE15" s="200">
        <f t="shared" si="5"/>
        <v>0.49827586206896551</v>
      </c>
      <c r="CF15" s="201">
        <f>VLOOKUP(CC2,'2017'!$B$2:$F$100,2, FALSE)</f>
        <v>144.5</v>
      </c>
      <c r="CG15" s="75" t="s">
        <v>175</v>
      </c>
      <c r="CH15" s="202">
        <f>VLOOKUP(CC2,'2017'!$B$2:$F$100,3, FALSE)</f>
        <v>290</v>
      </c>
      <c r="CI15" s="75">
        <f>VLOOKUP(CC2,'2017'!$B$2:$F$100,5, FALSE)</f>
        <v>13</v>
      </c>
      <c r="CJ15" s="209">
        <f>VLOOKUP(CC2,'Weekly Wins'!$AT$3:$AU$100,2, FALSE)</f>
        <v>1</v>
      </c>
      <c r="CK15" s="35"/>
      <c r="CL15" s="208">
        <v>2017</v>
      </c>
      <c r="CM15" s="75" t="str">
        <f>INDEX('2017'!$A$2:$A$100,MATCH(CL2,'2017'!$B$2:$B$100,0))</f>
        <v>1st</v>
      </c>
      <c r="CN15" s="200">
        <f t="shared" si="6"/>
        <v>0.52241379310344827</v>
      </c>
      <c r="CO15" s="201">
        <f>VLOOKUP(CL2,'2017'!$B$2:$F$100,2, FALSE)</f>
        <v>151.5</v>
      </c>
      <c r="CP15" s="75" t="s">
        <v>175</v>
      </c>
      <c r="CQ15" s="202">
        <f>VLOOKUP(CL2,'2017'!$B$2:$F$100,3, FALSE)</f>
        <v>290</v>
      </c>
      <c r="CR15" s="75">
        <f>VLOOKUP(CL2,'2017'!$B$2:$F$100,5, FALSE)</f>
        <v>13</v>
      </c>
      <c r="CS15" s="209">
        <f>VLOOKUP(CL2,'Weekly Wins'!$AT$3:$AU$100,2, FALSE)</f>
        <v>2.5</v>
      </c>
      <c r="CU15" s="208">
        <v>2017</v>
      </c>
      <c r="CV15" s="75" t="str">
        <f>INDEX('2017'!$A$2:$A$100,MATCH(CU2,'2017'!$B$2:$B$100,0))</f>
        <v>9th</v>
      </c>
      <c r="CW15" s="200">
        <f t="shared" si="7"/>
        <v>0.5051724137931034</v>
      </c>
      <c r="CX15" s="201">
        <f>VLOOKUP(CU2,'2017'!$B$2:$F$100,2, FALSE)</f>
        <v>146.5</v>
      </c>
      <c r="CY15" s="75" t="s">
        <v>175</v>
      </c>
      <c r="CZ15" s="202">
        <f>VLOOKUP(CU2,'2017'!$B$2:$F$100,3, FALSE)</f>
        <v>290</v>
      </c>
      <c r="DA15" s="75">
        <f>VLOOKUP(CU2,'2017'!$B$2:$F$100,5, FALSE)</f>
        <v>15</v>
      </c>
      <c r="DB15" s="209">
        <f>VLOOKUP(CU2,'Weekly Wins'!$AT$3:$AU$100,2, FALSE)</f>
        <v>0.14285714285714285</v>
      </c>
      <c r="DD15" s="35"/>
      <c r="DE15" s="35"/>
      <c r="DF15" s="35"/>
      <c r="DG15" s="35"/>
      <c r="DH15" s="35"/>
      <c r="DI15" s="35"/>
      <c r="DJ15" s="35"/>
      <c r="DK15" s="35"/>
      <c r="DM15" s="35"/>
      <c r="DN15" s="35"/>
      <c r="DO15" s="35"/>
      <c r="DP15" s="35"/>
      <c r="DQ15" s="35"/>
      <c r="DR15" s="35"/>
      <c r="DS15" s="35"/>
      <c r="DT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210">
        <f>COUNT(HH5:HH14)</f>
        <v>9</v>
      </c>
      <c r="HI15" s="211" t="s">
        <v>352</v>
      </c>
      <c r="HJ15" s="212">
        <f>HK15/HM15</f>
        <v>0.50277227722772277</v>
      </c>
      <c r="HK15" s="213">
        <f>SUM(HK5:HK14)</f>
        <v>1269.5</v>
      </c>
      <c r="HL15" s="214" t="s">
        <v>175</v>
      </c>
      <c r="HM15" s="211">
        <f>SUM(HM5:HM14)</f>
        <v>2525</v>
      </c>
      <c r="HN15" s="214">
        <f>SUM(HN5:HN14)</f>
        <v>148</v>
      </c>
      <c r="HO15" s="215">
        <f>SUM(HO5:HO14)</f>
        <v>2.8428571428571425</v>
      </c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</row>
    <row r="16" spans="1:259" ht="15.75" thickBot="1" x14ac:dyDescent="0.3">
      <c r="A16" s="35"/>
      <c r="B16" s="208">
        <v>2016</v>
      </c>
      <c r="C16" s="75" t="str">
        <f>INDEX('2016'!$A$2:$A$100,MATCH(B2,'2016'!$B$2:$B$100,0))</f>
        <v>8th</v>
      </c>
      <c r="D16" s="200">
        <f t="shared" si="0"/>
        <v>0.47241379310344828</v>
      </c>
      <c r="E16" s="201">
        <f>VLOOKUP(B2,'2016'!$B$2:$F$100,2, FALSE)</f>
        <v>137</v>
      </c>
      <c r="F16" s="75" t="s">
        <v>175</v>
      </c>
      <c r="G16" s="202">
        <f>VLOOKUP(B2,'2016'!$B$2:$F$100,3, FALSE)</f>
        <v>290</v>
      </c>
      <c r="H16" s="75">
        <f>VLOOKUP(B2,'2016'!$B$2:$F$100,5, FALSE)</f>
        <v>11</v>
      </c>
      <c r="I16" s="209">
        <f>VLOOKUP(B2,'Weekly Wins'!$AW$3:$AX$100,2, FALSE)</f>
        <v>0.91666666666666663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210">
        <f>COUNT(AJ5:AJ15)</f>
        <v>10</v>
      </c>
      <c r="AK16" s="211" t="s">
        <v>352</v>
      </c>
      <c r="AL16" s="212">
        <f>AM16/AO16</f>
        <v>0.47879924953095687</v>
      </c>
      <c r="AM16" s="213">
        <f>SUM(AM5:AM15)</f>
        <v>1276</v>
      </c>
      <c r="AN16" s="214" t="s">
        <v>175</v>
      </c>
      <c r="AO16" s="211">
        <f>SUM(AO5:AO15)</f>
        <v>2665</v>
      </c>
      <c r="AP16" s="214">
        <f>SUM(AP5:AP15)</f>
        <v>131.5</v>
      </c>
      <c r="AQ16" s="215">
        <f>SUM(AQ5:AQ15)</f>
        <v>5.833333333333333</v>
      </c>
      <c r="AR16" s="35"/>
      <c r="AS16" s="210">
        <f>COUNT(AS5:AS15)</f>
        <v>10</v>
      </c>
      <c r="AT16" s="211" t="s">
        <v>352</v>
      </c>
      <c r="AU16" s="212">
        <f>AV16/AX16</f>
        <v>0.50090025207057975</v>
      </c>
      <c r="AV16" s="213">
        <f>SUM(AV5:AV15)</f>
        <v>1391</v>
      </c>
      <c r="AW16" s="214" t="s">
        <v>175</v>
      </c>
      <c r="AX16" s="211">
        <f>SUM(AX5:AX15)</f>
        <v>2777</v>
      </c>
      <c r="AY16" s="214">
        <f>SUM(AY5:AY15)</f>
        <v>161</v>
      </c>
      <c r="AZ16" s="215">
        <f>SUM(AZ5:AZ15)</f>
        <v>8.4345238095238084</v>
      </c>
      <c r="BA16" s="35"/>
      <c r="BB16" s="208">
        <v>2016</v>
      </c>
      <c r="BC16" s="75" t="str">
        <f>INDEX('2016'!$A$2:$A$100,MATCH(BB2,'2016'!$B$2:$B$100,0))</f>
        <v>1st</v>
      </c>
      <c r="BD16" s="200">
        <f t="shared" si="3"/>
        <v>0.52413793103448281</v>
      </c>
      <c r="BE16" s="201">
        <f>VLOOKUP(BB2,'2016'!$B$2:$F$100,2, FALSE)</f>
        <v>152</v>
      </c>
      <c r="BF16" s="75" t="s">
        <v>175</v>
      </c>
      <c r="BG16" s="202">
        <f>VLOOKUP(BB2,'2016'!$B$2:$F$100,3, FALSE)</f>
        <v>290</v>
      </c>
      <c r="BH16" s="75">
        <f>VLOOKUP(BB2,'2016'!$B$2:$F$100,5, FALSE)</f>
        <v>14.5</v>
      </c>
      <c r="BI16" s="209">
        <f>VLOOKUP(BB2,'Weekly Wins'!$AW$3:$AX$100,2, FALSE)</f>
        <v>4.1666666666666661</v>
      </c>
      <c r="BJ16" s="35"/>
      <c r="BK16" s="208">
        <v>2016</v>
      </c>
      <c r="BL16" s="75" t="str">
        <f>INDEX('2016'!$A$2:$A$100,MATCH(BK2,'2016'!$B$2:$B$100,0))</f>
        <v>3rd</v>
      </c>
      <c r="BM16" s="200">
        <f t="shared" si="4"/>
        <v>0.50344827586206897</v>
      </c>
      <c r="BN16" s="201">
        <f>VLOOKUP(BK2,'2016'!$B$2:$F$100,2, FALSE)</f>
        <v>146</v>
      </c>
      <c r="BO16" s="75" t="s">
        <v>175</v>
      </c>
      <c r="BP16" s="202">
        <f>VLOOKUP(BK2,'2016'!$B$2:$F$100,3, FALSE)</f>
        <v>290</v>
      </c>
      <c r="BQ16" s="75">
        <f>VLOOKUP(BK2,'2016'!$B$2:$F$100,5, FALSE)</f>
        <v>7.5</v>
      </c>
      <c r="BR16" s="209">
        <f>VLOOKUP(BK2,'Weekly Wins'!$AW$3:$AX$100,2, FALSE)</f>
        <v>1.5</v>
      </c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208">
        <v>2016</v>
      </c>
      <c r="CD16" s="75" t="str">
        <f>INDEX('2016'!$A$2:$A$100,MATCH(CC2,'2016'!$B$2:$B$100,0))</f>
        <v>8th</v>
      </c>
      <c r="CE16" s="200">
        <f t="shared" si="5"/>
        <v>0.47241379310344828</v>
      </c>
      <c r="CF16" s="201">
        <f>VLOOKUP(CC2,'2016'!$B$2:$F$100,2, FALSE)</f>
        <v>137</v>
      </c>
      <c r="CG16" s="75" t="s">
        <v>175</v>
      </c>
      <c r="CH16" s="202">
        <f>VLOOKUP(CC2,'2016'!$B$2:$F$100,3, FALSE)</f>
        <v>290</v>
      </c>
      <c r="CI16" s="75">
        <f>VLOOKUP(CC2,'2016'!$B$2:$F$100,5, FALSE)</f>
        <v>11</v>
      </c>
      <c r="CJ16" s="209">
        <f>VLOOKUP(CC2,'Weekly Wins'!$AW$3:$AX$100,2, FALSE)</f>
        <v>0.91666666666666663</v>
      </c>
      <c r="CK16" s="35"/>
      <c r="CL16" s="210">
        <f>COUNT(CL5:CL15)</f>
        <v>10</v>
      </c>
      <c r="CM16" s="211" t="s">
        <v>352</v>
      </c>
      <c r="CN16" s="212">
        <f>CO16/CQ16</f>
        <v>0.49129662522202489</v>
      </c>
      <c r="CO16" s="213">
        <f>SUM(CO5:CO15)</f>
        <v>1383</v>
      </c>
      <c r="CP16" s="214" t="s">
        <v>175</v>
      </c>
      <c r="CQ16" s="211">
        <f>SUM(CQ5:CQ15)</f>
        <v>2815</v>
      </c>
      <c r="CR16" s="214">
        <f>SUM(CR5:CR15)</f>
        <v>151</v>
      </c>
      <c r="CS16" s="215">
        <f>SUM(CS5:CS15)</f>
        <v>6.6166666666666663</v>
      </c>
      <c r="CU16" s="208">
        <v>2016</v>
      </c>
      <c r="CV16" s="75" t="str">
        <f>INDEX('2016'!$A$2:$A$100,MATCH(CU2,'2016'!$B$2:$B$100,0))</f>
        <v>12th</v>
      </c>
      <c r="CW16" s="200">
        <f t="shared" si="7"/>
        <v>0.45862068965517239</v>
      </c>
      <c r="CX16" s="201">
        <f>VLOOKUP(CU2,'2016'!$B$2:$F$100,2, FALSE)</f>
        <v>133</v>
      </c>
      <c r="CY16" s="75" t="s">
        <v>175</v>
      </c>
      <c r="CZ16" s="202">
        <f>VLOOKUP(CU2,'2016'!$B$2:$F$100,3, FALSE)</f>
        <v>290</v>
      </c>
      <c r="DA16" s="75">
        <f>VLOOKUP(CU2,'2016'!$B$2:$F$100,5, FALSE)</f>
        <v>15</v>
      </c>
      <c r="DB16" s="209">
        <f>VLOOKUP(CU2,'Weekly Wins'!$AW$3:$AX$100,2, FALSE)</f>
        <v>0.2</v>
      </c>
      <c r="DD16" s="35"/>
      <c r="DE16" s="35"/>
      <c r="DF16" s="35"/>
      <c r="DG16" s="35"/>
      <c r="DH16" s="35"/>
      <c r="DI16" s="35"/>
      <c r="DJ16" s="35"/>
      <c r="DK16" s="35"/>
      <c r="DM16" s="35"/>
      <c r="DN16" s="35"/>
      <c r="DO16" s="35"/>
      <c r="DP16" s="35"/>
      <c r="DQ16" s="35"/>
      <c r="DR16" s="35"/>
      <c r="DS16" s="35"/>
      <c r="DT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</row>
    <row r="17" spans="1:259" x14ac:dyDescent="0.25">
      <c r="A17" s="35"/>
      <c r="B17" s="208">
        <v>2015</v>
      </c>
      <c r="C17" s="75" t="str">
        <f>INDEX('2015'!$A$2:$A$100,MATCH(B2,'2015'!$B$2:$B$100,0))</f>
        <v>3rd</v>
      </c>
      <c r="D17" s="200">
        <f t="shared" si="0"/>
        <v>0.52571428571428569</v>
      </c>
      <c r="E17" s="201">
        <f>VLOOKUP(B2,'2015'!$B$2:$F$100,2, FALSE)</f>
        <v>184</v>
      </c>
      <c r="F17" s="75" t="s">
        <v>175</v>
      </c>
      <c r="G17" s="202">
        <f>VLOOKUP(B2,'2015'!$B$2:$F$100,3, FALSE)</f>
        <v>350</v>
      </c>
      <c r="H17" s="75">
        <f>VLOOKUP(B2,'2015'!$B$2:$F$100,5, FALSE)</f>
        <v>17</v>
      </c>
      <c r="I17" s="209">
        <f>VLOOKUP(B2,'Weekly Wins'!$AZ$3:$BA$100,2, FALSE)</f>
        <v>1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208">
        <v>2015</v>
      </c>
      <c r="BC17" s="75" t="str">
        <f>INDEX('2015'!$A$2:$A$100,MATCH(BB2,'2015'!$B$2:$B$100,0))</f>
        <v>11th</v>
      </c>
      <c r="BD17" s="200">
        <f t="shared" si="3"/>
        <v>0.50142857142857145</v>
      </c>
      <c r="BE17" s="201">
        <f>VLOOKUP(BB2,'2015'!$B$2:$F$100,2, FALSE)</f>
        <v>175.5</v>
      </c>
      <c r="BF17" s="75" t="s">
        <v>175</v>
      </c>
      <c r="BG17" s="202">
        <f>VLOOKUP(BB2,'2015'!$B$2:$F$100,3, FALSE)</f>
        <v>350</v>
      </c>
      <c r="BH17" s="75">
        <f>VLOOKUP(BB2,'2015'!$B$2:$F$100,5, FALSE)</f>
        <v>15.5</v>
      </c>
      <c r="BI17" s="209">
        <f>VLOOKUP(BB2,'Weekly Wins'!$AZ$3:$BA$100,2, FALSE)</f>
        <v>2</v>
      </c>
      <c r="BJ17" s="35"/>
      <c r="BK17" s="208">
        <v>2015</v>
      </c>
      <c r="BL17" s="75" t="str">
        <f>INDEX('2015'!$A$2:$A$100,MATCH(BK2,'2015'!$B$2:$B$100,0))</f>
        <v>1st</v>
      </c>
      <c r="BM17" s="200">
        <f t="shared" si="4"/>
        <v>0.53285714285714281</v>
      </c>
      <c r="BN17" s="201">
        <f>VLOOKUP(BK2,'2015'!$B$2:$F$100,2, FALSE)</f>
        <v>186.5</v>
      </c>
      <c r="BO17" s="75" t="s">
        <v>175</v>
      </c>
      <c r="BP17" s="202">
        <f>VLOOKUP(BK2,'2015'!$B$2:$F$100,3, FALSE)</f>
        <v>350</v>
      </c>
      <c r="BQ17" s="75">
        <f>VLOOKUP(BK2,'2015'!$B$2:$F$100,5, FALSE)</f>
        <v>18</v>
      </c>
      <c r="BR17" s="209">
        <f>VLOOKUP(BK2,'Weekly Wins'!$AZ$3:$BA$100,2, FALSE)</f>
        <v>1</v>
      </c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208">
        <v>2015</v>
      </c>
      <c r="CD17" s="75" t="str">
        <f>INDEX('2015'!$A$2:$A$100,MATCH(CC2,'2015'!$B$2:$B$100,0))</f>
        <v>3rd</v>
      </c>
      <c r="CE17" s="200">
        <f t="shared" si="5"/>
        <v>0.52571428571428569</v>
      </c>
      <c r="CF17" s="201">
        <f>VLOOKUP(CC2,'2015'!$B$2:$F$100,2, FALSE)</f>
        <v>184</v>
      </c>
      <c r="CG17" s="75" t="s">
        <v>175</v>
      </c>
      <c r="CH17" s="202">
        <f>VLOOKUP(CC2,'2015'!$B$2:$F$100,3, FALSE)</f>
        <v>350</v>
      </c>
      <c r="CI17" s="75">
        <f>VLOOKUP(CC2,'2015'!$B$2:$F$100,5, FALSE)</f>
        <v>17</v>
      </c>
      <c r="CJ17" s="209">
        <f>VLOOKUP(CC2,'Weekly Wins'!$AZ$3:$BA$100,2, FALSE)</f>
        <v>1</v>
      </c>
      <c r="CK17" s="35"/>
      <c r="CL17" s="35"/>
      <c r="CM17" s="35"/>
      <c r="CN17" s="35"/>
      <c r="CO17" s="35"/>
      <c r="CP17" s="35"/>
      <c r="CQ17" s="35"/>
      <c r="CR17" s="35"/>
      <c r="CS17" s="35"/>
      <c r="CU17" s="208">
        <v>2015</v>
      </c>
      <c r="CV17" s="75" t="str">
        <f>INDEX('2015'!$A$2:$A$100,MATCH(CU2,'2015'!$B$2:$B$100,0))</f>
        <v>16th</v>
      </c>
      <c r="CW17" s="200">
        <f t="shared" si="7"/>
        <v>0.48428571428571426</v>
      </c>
      <c r="CX17" s="201">
        <f>VLOOKUP(CU2,'2015'!$B$2:$F$100,2, FALSE)</f>
        <v>169.5</v>
      </c>
      <c r="CY17" s="75" t="s">
        <v>175</v>
      </c>
      <c r="CZ17" s="202">
        <f>VLOOKUP(CU2,'2015'!$B$2:$F$100,3, FALSE)</f>
        <v>350</v>
      </c>
      <c r="DA17" s="75">
        <f>VLOOKUP(CU2,'2015'!$B$2:$F$100,5, FALSE)</f>
        <v>11.5</v>
      </c>
      <c r="DB17" s="209">
        <f>VLOOKUP(CU2,'Weekly Wins'!$AZ$3:$BA$100,2, FALSE)</f>
        <v>0</v>
      </c>
      <c r="DD17" s="35"/>
      <c r="DE17" s="35"/>
      <c r="DF17" s="35"/>
      <c r="DG17" s="35"/>
      <c r="DH17" s="35"/>
      <c r="DI17" s="35"/>
      <c r="DJ17" s="35"/>
      <c r="DK17" s="35"/>
      <c r="DM17" s="35"/>
      <c r="DN17" s="35"/>
      <c r="DO17" s="35"/>
      <c r="DP17" s="35"/>
      <c r="DQ17" s="35"/>
      <c r="DR17" s="35"/>
      <c r="DS17" s="35"/>
      <c r="DT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</row>
    <row r="18" spans="1:259" ht="15.75" thickBot="1" x14ac:dyDescent="0.3">
      <c r="A18" s="35"/>
      <c r="B18" s="210">
        <f>COUNT(B5:B17)</f>
        <v>12</v>
      </c>
      <c r="C18" s="211" t="s">
        <v>352</v>
      </c>
      <c r="D18" s="212">
        <f t="shared" si="0"/>
        <v>0.49667149059334298</v>
      </c>
      <c r="E18" s="213">
        <f>SUM(E5:E17)</f>
        <v>1716</v>
      </c>
      <c r="F18" s="214" t="s">
        <v>175</v>
      </c>
      <c r="G18" s="211">
        <f>SUM(G5:G17)</f>
        <v>3455</v>
      </c>
      <c r="H18" s="214">
        <f>SUM(H5:H17)</f>
        <v>180</v>
      </c>
      <c r="I18" s="215">
        <f>SUM(I5:I17)</f>
        <v>3.5749999999999997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210">
        <f>COUNT(BB5:BB17)</f>
        <v>12</v>
      </c>
      <c r="BC18" s="211" t="s">
        <v>352</v>
      </c>
      <c r="BD18" s="212">
        <f t="shared" si="3"/>
        <v>0.48842257597684513</v>
      </c>
      <c r="BE18" s="213">
        <f>SUM(BE5:BE17)</f>
        <v>1687.5</v>
      </c>
      <c r="BF18" s="214" t="s">
        <v>175</v>
      </c>
      <c r="BG18" s="211">
        <f>SUM(BG5:BG17)</f>
        <v>3455</v>
      </c>
      <c r="BH18" s="214">
        <f>SUM(BH5:BH17)</f>
        <v>189.5</v>
      </c>
      <c r="BI18" s="215">
        <f>SUM(BI5:BI17)</f>
        <v>17.041666666666664</v>
      </c>
      <c r="BJ18" s="35"/>
      <c r="BK18" s="210">
        <f>COUNT(BK5:BK17)</f>
        <v>12</v>
      </c>
      <c r="BL18" s="211" t="s">
        <v>352</v>
      </c>
      <c r="BM18" s="212">
        <f t="shared" si="4"/>
        <v>0.48292329956584662</v>
      </c>
      <c r="BN18" s="213">
        <f>SUM(BN5:BN17)</f>
        <v>1668.5</v>
      </c>
      <c r="BO18" s="214" t="s">
        <v>175</v>
      </c>
      <c r="BP18" s="211">
        <f>SUM(BP5:BP17)</f>
        <v>3455</v>
      </c>
      <c r="BQ18" s="214">
        <f>SUM(BQ5:BQ17)</f>
        <v>177</v>
      </c>
      <c r="BR18" s="215">
        <f>SUM(BR5:BR17)</f>
        <v>6.1666666666666661</v>
      </c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210">
        <f>COUNT(CC5:CC17)</f>
        <v>12</v>
      </c>
      <c r="CD18" s="211" t="s">
        <v>352</v>
      </c>
      <c r="CE18" s="212">
        <f t="shared" si="5"/>
        <v>0.49667149059334298</v>
      </c>
      <c r="CF18" s="213">
        <f>SUM(CF5:CF17)</f>
        <v>1716</v>
      </c>
      <c r="CG18" s="214" t="s">
        <v>175</v>
      </c>
      <c r="CH18" s="211">
        <f>SUM(CH5:CH17)</f>
        <v>3455</v>
      </c>
      <c r="CI18" s="214">
        <f>SUM(CI5:CI17)</f>
        <v>180</v>
      </c>
      <c r="CJ18" s="215">
        <f>SUM(CJ5:CJ17)</f>
        <v>3.5749999999999997</v>
      </c>
      <c r="CK18" s="35"/>
      <c r="CL18" s="35"/>
      <c r="CM18" s="35"/>
      <c r="CN18" s="35"/>
      <c r="CO18" s="35"/>
      <c r="CP18" s="35"/>
      <c r="CQ18" s="35"/>
      <c r="CR18" s="35"/>
      <c r="CS18" s="35"/>
      <c r="CU18" s="210">
        <f>COUNT(CU5:CU17)</f>
        <v>12</v>
      </c>
      <c r="CV18" s="211" t="s">
        <v>352</v>
      </c>
      <c r="CW18" s="212">
        <f t="shared" ref="CW18" si="25">CX18/CZ18</f>
        <v>0.49044862518089727</v>
      </c>
      <c r="CX18" s="213">
        <f>SUM(CX5:CX17)</f>
        <v>1694.5</v>
      </c>
      <c r="CY18" s="214" t="s">
        <v>175</v>
      </c>
      <c r="CZ18" s="211">
        <f>SUM(CZ5:CZ17)</f>
        <v>3455</v>
      </c>
      <c r="DA18" s="214">
        <f>SUM(DA5:DA17)</f>
        <v>183.5</v>
      </c>
      <c r="DB18" s="215">
        <f>SUM(DB5:DB17)</f>
        <v>7.0428571428571436</v>
      </c>
      <c r="DD18" s="35"/>
      <c r="DE18" s="35"/>
      <c r="DF18" s="35"/>
      <c r="DG18" s="35"/>
      <c r="DH18" s="35"/>
      <c r="DI18" s="35"/>
      <c r="DJ18" s="35"/>
      <c r="DK18" s="35"/>
      <c r="DM18" s="35"/>
      <c r="DN18" s="35"/>
      <c r="DO18" s="35"/>
      <c r="DP18" s="35"/>
      <c r="DQ18" s="35"/>
      <c r="DR18" s="35"/>
      <c r="DS18" s="35"/>
      <c r="DT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</row>
    <row r="19" spans="1:259" s="35" customFormat="1" x14ac:dyDescent="0.25"/>
    <row r="20" spans="1:259" s="31" customFormat="1" x14ac:dyDescent="0.25"/>
    <row r="21" spans="1:259" s="35" customFormat="1" ht="15.75" thickBot="1" x14ac:dyDescent="0.3"/>
    <row r="22" spans="1:259" s="35" customFormat="1" ht="15.75" x14ac:dyDescent="0.25">
      <c r="DD22" s="227" t="s">
        <v>45</v>
      </c>
      <c r="DE22" s="235"/>
      <c r="DF22" s="235"/>
      <c r="DG22" s="231" t="s">
        <v>347</v>
      </c>
      <c r="DH22" s="233"/>
      <c r="DI22" s="233"/>
      <c r="DJ22" s="233"/>
      <c r="DK22" s="203" t="str">
        <f>VLOOKUP(DD22,College!$B$4:$H$1000,6, FALSE)</f>
        <v>8th</v>
      </c>
      <c r="DM22" s="227" t="s">
        <v>376</v>
      </c>
      <c r="DN22" s="235"/>
      <c r="DO22" s="235"/>
      <c r="DP22" s="231" t="s">
        <v>347</v>
      </c>
      <c r="DQ22" s="233"/>
      <c r="DR22" s="233"/>
      <c r="DS22" s="233"/>
      <c r="DT22" s="203" t="str">
        <f>VLOOKUP(DM22,College!$B$4:$H$1000,6, FALSE)</f>
        <v>57th</v>
      </c>
      <c r="DV22" s="227" t="s">
        <v>104</v>
      </c>
      <c r="DW22" s="235"/>
      <c r="DX22" s="235"/>
      <c r="DY22" s="231" t="s">
        <v>347</v>
      </c>
      <c r="DZ22" s="233"/>
      <c r="EA22" s="233"/>
      <c r="EB22" s="233"/>
      <c r="EC22" s="203" t="str">
        <f>VLOOKUP(DV22,College!$B$4:$H$1000,6, FALSE)</f>
        <v>68th</v>
      </c>
    </row>
    <row r="23" spans="1:259" s="35" customFormat="1" ht="15.75" x14ac:dyDescent="0.25">
      <c r="DD23" s="236"/>
      <c r="DE23" s="237"/>
      <c r="DF23" s="237"/>
      <c r="DG23" s="232" t="s">
        <v>348</v>
      </c>
      <c r="DH23" s="234"/>
      <c r="DI23" s="234"/>
      <c r="DJ23" s="234"/>
      <c r="DK23" s="216" t="str">
        <f>VLOOKUP(DD22,College!$B$4:$H$1000,7, FALSE)</f>
        <v>13th</v>
      </c>
      <c r="DM23" s="236"/>
      <c r="DN23" s="237"/>
      <c r="DO23" s="237"/>
      <c r="DP23" s="232" t="s">
        <v>348</v>
      </c>
      <c r="DQ23" s="234"/>
      <c r="DR23" s="234"/>
      <c r="DS23" s="234"/>
      <c r="DT23" s="216" t="str">
        <f>VLOOKUP(DM22,College!$B$4:$H$1000,7, FALSE)</f>
        <v>63rd</v>
      </c>
      <c r="DV23" s="236"/>
      <c r="DW23" s="237"/>
      <c r="DX23" s="237"/>
      <c r="DY23" s="232" t="s">
        <v>348</v>
      </c>
      <c r="DZ23" s="234"/>
      <c r="EA23" s="234"/>
      <c r="EB23" s="234"/>
      <c r="EC23" s="216" t="str">
        <f>VLOOKUP(DV22,College!$B$4:$H$1000,7, FALSE)</f>
        <v>72nd</v>
      </c>
    </row>
    <row r="24" spans="1:259" s="35" customFormat="1" ht="16.5" thickBot="1" x14ac:dyDescent="0.3">
      <c r="DD24" s="217"/>
      <c r="DE24" s="218" t="s">
        <v>346</v>
      </c>
      <c r="DF24" s="219">
        <f>DG24/DI24</f>
        <v>0.49633587786259542</v>
      </c>
      <c r="DG24" s="218">
        <f>VLOOKUP(DD22,College!$B$4:$H$1000,2, FALSE)</f>
        <v>1625.5</v>
      </c>
      <c r="DH24" s="220" t="s">
        <v>175</v>
      </c>
      <c r="DI24" s="221">
        <f>VLOOKUP(DD22,College!$B$4:$H$1000,3, FALSE)</f>
        <v>3275</v>
      </c>
      <c r="DJ24" s="222"/>
      <c r="DK24" s="223"/>
      <c r="DM24" s="217"/>
      <c r="DN24" s="218" t="s">
        <v>346</v>
      </c>
      <c r="DO24" s="219">
        <f>DP24/DR24</f>
        <v>0.43285714285714288</v>
      </c>
      <c r="DP24" s="218">
        <f>VLOOKUP(DM22,College!$B$4:$H$1000,2, FALSE)</f>
        <v>151.5</v>
      </c>
      <c r="DQ24" s="220" t="s">
        <v>175</v>
      </c>
      <c r="DR24" s="221">
        <f>VLOOKUP(DM22,College!$B$4:$H$1000,3, FALSE)</f>
        <v>350</v>
      </c>
      <c r="DS24" s="222"/>
      <c r="DT24" s="223"/>
      <c r="DV24" s="217"/>
      <c r="DW24" s="218" t="s">
        <v>346</v>
      </c>
      <c r="DX24" s="219">
        <f>DY24/EA24</f>
        <v>0.34428571428571431</v>
      </c>
      <c r="DY24" s="218">
        <f>VLOOKUP(DV22,College!$B$4:$H$1000,2, FALSE)</f>
        <v>120.5</v>
      </c>
      <c r="DZ24" s="220" t="s">
        <v>175</v>
      </c>
      <c r="EA24" s="221">
        <f>VLOOKUP(DV22,College!$B$4:$H$1000,3, FALSE)</f>
        <v>350</v>
      </c>
      <c r="EB24" s="222"/>
      <c r="EC24" s="223"/>
    </row>
    <row r="25" spans="1:259" s="35" customFormat="1" x14ac:dyDescent="0.25">
      <c r="DD25" s="204" t="s">
        <v>163</v>
      </c>
      <c r="DE25" s="205" t="s">
        <v>349</v>
      </c>
      <c r="DF25" s="206" t="s">
        <v>3</v>
      </c>
      <c r="DG25" s="205" t="s">
        <v>1</v>
      </c>
      <c r="DH25" s="205" t="s">
        <v>175</v>
      </c>
      <c r="DI25" s="205" t="s">
        <v>2</v>
      </c>
      <c r="DJ25" s="205" t="s">
        <v>350</v>
      </c>
      <c r="DK25" s="207" t="s">
        <v>351</v>
      </c>
      <c r="DM25" s="204" t="s">
        <v>163</v>
      </c>
      <c r="DN25" s="205" t="s">
        <v>349</v>
      </c>
      <c r="DO25" s="206" t="s">
        <v>3</v>
      </c>
      <c r="DP25" s="205" t="s">
        <v>1</v>
      </c>
      <c r="DQ25" s="205" t="s">
        <v>175</v>
      </c>
      <c r="DR25" s="205" t="s">
        <v>2</v>
      </c>
      <c r="DS25" s="205" t="s">
        <v>350</v>
      </c>
      <c r="DT25" s="207" t="s">
        <v>351</v>
      </c>
      <c r="DV25" s="204" t="s">
        <v>163</v>
      </c>
      <c r="DW25" s="205" t="s">
        <v>349</v>
      </c>
      <c r="DX25" s="206" t="s">
        <v>3</v>
      </c>
      <c r="DY25" s="205" t="s">
        <v>1</v>
      </c>
      <c r="DZ25" s="205" t="s">
        <v>175</v>
      </c>
      <c r="EA25" s="205" t="s">
        <v>2</v>
      </c>
      <c r="EB25" s="205" t="s">
        <v>350</v>
      </c>
      <c r="EC25" s="207" t="s">
        <v>351</v>
      </c>
    </row>
    <row r="26" spans="1:259" s="35" customFormat="1" x14ac:dyDescent="0.25">
      <c r="DD26" s="208">
        <v>2025</v>
      </c>
      <c r="DE26" s="75" t="str">
        <f>INDEX('2025'!$A$2:$A$100,MATCH(DD22,'2025'!$B$2:$B$100,0))</f>
        <v>11th</v>
      </c>
      <c r="DF26" s="200">
        <f t="shared" ref="DF26:DF37" si="26">DG26/DI26</f>
        <v>0.49473684210526314</v>
      </c>
      <c r="DG26" s="201">
        <f>VLOOKUP(DD22,'2025'!$B$2:$F$100,2, FALSE)</f>
        <v>141</v>
      </c>
      <c r="DH26" s="75" t="s">
        <v>175</v>
      </c>
      <c r="DI26" s="202">
        <f>VLOOKUP(DD22,'2025'!$B$2:$F$100,3, FALSE)</f>
        <v>285</v>
      </c>
      <c r="DJ26" s="75">
        <f>VLOOKUP(DD22,'2025'!$B$2:$F$100,5, FALSE)</f>
        <v>20</v>
      </c>
      <c r="DK26" s="209">
        <f>VLOOKUP(DD22,'Weekly Wins'!$V$3:$W$100,2, FALSE)</f>
        <v>1</v>
      </c>
      <c r="DM26" s="208">
        <v>2015</v>
      </c>
      <c r="DN26" s="75" t="str">
        <f>INDEX('2015'!$A$2:$A$100,MATCH(DM22,'2015'!$B$2:$B$100,0))</f>
        <v>18th</v>
      </c>
      <c r="DO26" s="200">
        <f>DP26/DR26</f>
        <v>0.43285714285714288</v>
      </c>
      <c r="DP26" s="201">
        <f>VLOOKUP(DM22,'2015'!$B$2:$F$100,2, FALSE)</f>
        <v>151.5</v>
      </c>
      <c r="DQ26" s="75" t="s">
        <v>175</v>
      </c>
      <c r="DR26" s="202">
        <f>VLOOKUP(DM22,'2015'!$B$2:$F$100,3, FALSE)</f>
        <v>350</v>
      </c>
      <c r="DS26" s="75">
        <f>VLOOKUP(DM22,'2015'!$B$2:$F$100,5, FALSE)</f>
        <v>10.5</v>
      </c>
      <c r="DT26" s="209">
        <f>VLOOKUP(DM22,'Weekly Wins'!$AZ$3:$BA$100,2, FALSE)</f>
        <v>0</v>
      </c>
      <c r="DV26" s="208">
        <v>2015</v>
      </c>
      <c r="DW26" s="75" t="str">
        <f>INDEX('2015'!$A$2:$A$100,MATCH(DV22,'2015'!$B$2:$B$100,0))</f>
        <v>21st**</v>
      </c>
      <c r="DX26" s="200">
        <f>DY26/EA26</f>
        <v>0.34428571428571431</v>
      </c>
      <c r="DY26" s="201">
        <f>VLOOKUP(DV22,'2015'!$B$2:$F$100,2, FALSE)</f>
        <v>120.5</v>
      </c>
      <c r="DZ26" s="75" t="s">
        <v>175</v>
      </c>
      <c r="EA26" s="202">
        <f>VLOOKUP(DV22,'2015'!$B$2:$F$100,3, FALSE)</f>
        <v>350</v>
      </c>
      <c r="EB26" s="75">
        <f>VLOOKUP(DV22,'2015'!$B$2:$F$100,5, FALSE)</f>
        <v>4.5</v>
      </c>
      <c r="EC26" s="209">
        <f>VLOOKUP(DV22,'Weekly Wins'!$AZ$3:$BA$100,2, FALSE)</f>
        <v>0</v>
      </c>
    </row>
    <row r="27" spans="1:259" s="35" customFormat="1" ht="15.75" thickBot="1" x14ac:dyDescent="0.3">
      <c r="DD27" s="208">
        <v>2024</v>
      </c>
      <c r="DE27" s="75" t="str">
        <f>INDEX('2024'!$A$2:$A$100,MATCH(DD22,'2024'!$B$2:$B$100,0))</f>
        <v>8th</v>
      </c>
      <c r="DF27" s="200">
        <f t="shared" si="26"/>
        <v>0.50322580645161286</v>
      </c>
      <c r="DG27" s="201">
        <f>VLOOKUP(DD22,'2024'!$B$2:$F$100,2, FALSE)</f>
        <v>156</v>
      </c>
      <c r="DH27" s="75" t="s">
        <v>175</v>
      </c>
      <c r="DI27" s="202">
        <f>VLOOKUP(DD22,'2024'!$B$2:$F$100,3, FALSE)</f>
        <v>310</v>
      </c>
      <c r="DJ27" s="75">
        <f>VLOOKUP(DD22,'2024'!$B$2:$F$100,5, FALSE)</f>
        <v>14</v>
      </c>
      <c r="DK27" s="209">
        <f>VLOOKUP(DD22,'Weekly Wins'!$Y$3:$Z$100,2, FALSE)</f>
        <v>2</v>
      </c>
      <c r="DM27" s="210">
        <f>COUNT(DM25:DM26)</f>
        <v>1</v>
      </c>
      <c r="DN27" s="211" t="s">
        <v>352</v>
      </c>
      <c r="DO27" s="212">
        <f t="shared" ref="DO27" si="27">DP27/DR27</f>
        <v>0.43285714285714288</v>
      </c>
      <c r="DP27" s="213">
        <f>SUM(DP25:DP26)</f>
        <v>151.5</v>
      </c>
      <c r="DQ27" s="214" t="s">
        <v>175</v>
      </c>
      <c r="DR27" s="211">
        <f>SUM(DR25:DR26)</f>
        <v>350</v>
      </c>
      <c r="DS27" s="214">
        <f>SUM(DS25:DS26)</f>
        <v>10.5</v>
      </c>
      <c r="DT27" s="215">
        <f>SUM(DT25:DT26)</f>
        <v>0</v>
      </c>
      <c r="DV27" s="210">
        <f>COUNT(DV25:DV26)</f>
        <v>1</v>
      </c>
      <c r="DW27" s="211" t="s">
        <v>352</v>
      </c>
      <c r="DX27" s="212">
        <f t="shared" ref="DX27" si="28">DY27/EA27</f>
        <v>0.34428571428571431</v>
      </c>
      <c r="DY27" s="213">
        <f>SUM(DY25:DY26)</f>
        <v>120.5</v>
      </c>
      <c r="DZ27" s="214" t="s">
        <v>175</v>
      </c>
      <c r="EA27" s="211">
        <f>SUM(EA25:EA26)</f>
        <v>350</v>
      </c>
      <c r="EB27" s="214">
        <f>SUM(EB25:EB26)</f>
        <v>4.5</v>
      </c>
      <c r="EC27" s="215">
        <f>SUM(EC25:EC26)</f>
        <v>0</v>
      </c>
    </row>
    <row r="28" spans="1:259" s="35" customFormat="1" x14ac:dyDescent="0.25">
      <c r="DD28" s="208">
        <v>2023</v>
      </c>
      <c r="DE28" s="75" t="str">
        <f>INDEX('2023'!$A$2:$A$100,MATCH(DD22,'2023'!$B$2:$B$100,0))</f>
        <v>18th</v>
      </c>
      <c r="DF28" s="200">
        <f t="shared" si="26"/>
        <v>0.51551724137931032</v>
      </c>
      <c r="DG28" s="201">
        <f>VLOOKUP(DD22,'2023'!$B$2:$F$100,2, FALSE)</f>
        <v>149.5</v>
      </c>
      <c r="DH28" s="75" t="s">
        <v>175</v>
      </c>
      <c r="DI28" s="202">
        <f>VLOOKUP(DD22,'2023'!$B$2:$F$100,3, FALSE)</f>
        <v>290</v>
      </c>
      <c r="DJ28" s="75">
        <f>VLOOKUP(DD22,'2023'!$B$2:$F$100,5, FALSE)</f>
        <v>17.5</v>
      </c>
      <c r="DK28" s="209">
        <f>VLOOKUP(DD22,'Weekly Wins'!$AB$3:$AC$100,2, FALSE)</f>
        <v>1</v>
      </c>
    </row>
    <row r="29" spans="1:259" s="35" customFormat="1" x14ac:dyDescent="0.25">
      <c r="DD29" s="208">
        <v>2022</v>
      </c>
      <c r="DE29" s="75" t="str">
        <f>INDEX('2022'!$A$2:$A$100,MATCH(DD22,'2022'!$B$2:$B$100,0))</f>
        <v>18th</v>
      </c>
      <c r="DF29" s="200">
        <f t="shared" si="26"/>
        <v>0.47413793103448276</v>
      </c>
      <c r="DG29" s="201">
        <f>VLOOKUP(DD22,'2022'!$B$2:$F$100,2, FALSE)</f>
        <v>137.5</v>
      </c>
      <c r="DH29" s="75" t="s">
        <v>175</v>
      </c>
      <c r="DI29" s="202">
        <f>VLOOKUP(DD22,'2022'!$B$2:$F$100,3, FALSE)</f>
        <v>290</v>
      </c>
      <c r="DJ29" s="75">
        <f>VLOOKUP(DD22,'2022'!$B$2:$F$100,5, FALSE)</f>
        <v>13</v>
      </c>
      <c r="DK29" s="209">
        <f>VLOOKUP(DD22,'Weekly Wins'!$AE$3:$AF$100,2, FALSE)</f>
        <v>0</v>
      </c>
    </row>
    <row r="30" spans="1:259" s="35" customFormat="1" x14ac:dyDescent="0.25">
      <c r="DD30" s="208">
        <v>2021</v>
      </c>
      <c r="DE30" s="75" t="str">
        <f>INDEX('2021'!$A$2:$A$100,MATCH(DD22,'2021'!$B$2:$B$100,0))</f>
        <v>16th</v>
      </c>
      <c r="DF30" s="200">
        <f t="shared" si="26"/>
        <v>0.4982638888888889</v>
      </c>
      <c r="DG30" s="201">
        <f>VLOOKUP(DD22,'2021'!$B$2:$F$100,2, FALSE)</f>
        <v>143.5</v>
      </c>
      <c r="DH30" s="75" t="s">
        <v>175</v>
      </c>
      <c r="DI30" s="202">
        <f>VLOOKUP(DD22,'2021'!$B$2:$F$100,3, FALSE)</f>
        <v>288</v>
      </c>
      <c r="DJ30" s="75">
        <v>16.5</v>
      </c>
      <c r="DK30" s="209">
        <f>VLOOKUP(DD22,'Weekly Wins'!$AH$3:$AI$100,2, FALSE)</f>
        <v>0</v>
      </c>
    </row>
    <row r="31" spans="1:259" s="35" customFormat="1" x14ac:dyDescent="0.25">
      <c r="DD31" s="208">
        <v>2020</v>
      </c>
      <c r="DE31" s="75" t="str">
        <f>INDEX('2020'!$A$2:$A$100,MATCH(DD22,'2020'!$B$2:$B$100,0))</f>
        <v>3rd</v>
      </c>
      <c r="DF31" s="200">
        <f t="shared" si="26"/>
        <v>0.54109589041095896</v>
      </c>
      <c r="DG31" s="201">
        <f>VLOOKUP(DD22,'2020'!$B$2:$F$100,2, FALSE)</f>
        <v>158</v>
      </c>
      <c r="DH31" s="75" t="s">
        <v>175</v>
      </c>
      <c r="DI31" s="202">
        <f>VLOOKUP(DD22,'2020'!$B$2:$F$100,3, FALSE)</f>
        <v>292</v>
      </c>
      <c r="DJ31" s="75">
        <f>VLOOKUP(DD22,'2020'!$B$2:$F$100,5, FALSE)</f>
        <v>19</v>
      </c>
      <c r="DK31" s="209">
        <f>VLOOKUP(DD22,'Weekly Wins'!$AK$3:$AL$100,2, FALSE)</f>
        <v>2</v>
      </c>
    </row>
    <row r="32" spans="1:259" s="35" customFormat="1" x14ac:dyDescent="0.25">
      <c r="DD32" s="208">
        <v>2019</v>
      </c>
      <c r="DE32" s="75" t="str">
        <f>INDEX('2019'!$A$2:$A$100,MATCH(DD22,'2019'!$B$2:$B$100,0))</f>
        <v>8th</v>
      </c>
      <c r="DF32" s="200">
        <f t="shared" si="26"/>
        <v>0.51833333333333331</v>
      </c>
      <c r="DG32" s="201">
        <f>VLOOKUP(DD22,'2019'!$B$2:$F$100,2, FALSE)</f>
        <v>155.5</v>
      </c>
      <c r="DH32" s="75" t="s">
        <v>175</v>
      </c>
      <c r="DI32" s="202">
        <f>VLOOKUP(DD22,'2019'!$B$2:$F$100,3, FALSE)</f>
        <v>300</v>
      </c>
      <c r="DJ32" s="75">
        <f>VLOOKUP(DD22,'2019'!$B$2:$F$100,5, FALSE)</f>
        <v>18.5</v>
      </c>
      <c r="DK32" s="209">
        <f>VLOOKUP(DD22,'Weekly Wins'!$AN$3:$AO$100,2, FALSE)</f>
        <v>2.125</v>
      </c>
    </row>
    <row r="33" spans="108:115" s="35" customFormat="1" x14ac:dyDescent="0.25">
      <c r="DD33" s="208">
        <v>2018</v>
      </c>
      <c r="DE33" s="75" t="str">
        <f>INDEX('2018'!$A$2:$A$100,MATCH(DD22,'2018'!$B$2:$B$100,0))</f>
        <v>8th</v>
      </c>
      <c r="DF33" s="200">
        <f t="shared" si="26"/>
        <v>0.47068965517241379</v>
      </c>
      <c r="DG33" s="201">
        <f>VLOOKUP(DD22,'2018'!$B$2:$F$100,2, FALSE)</f>
        <v>136.5</v>
      </c>
      <c r="DH33" s="75" t="s">
        <v>175</v>
      </c>
      <c r="DI33" s="202">
        <f>VLOOKUP(DD22,'2018'!$B$2:$F$100,3, FALSE)</f>
        <v>290</v>
      </c>
      <c r="DJ33" s="75">
        <f>VLOOKUP(DD22,'2018'!$B$2:$F$100,5, FALSE)</f>
        <v>14.5</v>
      </c>
      <c r="DK33" s="209">
        <f>VLOOKUP(DD22,'Weekly Wins'!$AQ$3:$AR$100,2, FALSE)</f>
        <v>0</v>
      </c>
    </row>
    <row r="34" spans="108:115" s="35" customFormat="1" x14ac:dyDescent="0.25">
      <c r="DD34" s="208">
        <v>2017</v>
      </c>
      <c r="DE34" s="75" t="str">
        <f>INDEX('2017'!$A$2:$A$100,MATCH(DD22,'2017'!$B$2:$B$100,0))</f>
        <v>14th</v>
      </c>
      <c r="DF34" s="200">
        <f t="shared" si="26"/>
        <v>0.49137931034482757</v>
      </c>
      <c r="DG34" s="201">
        <f>VLOOKUP(DD22,'2017'!$B$2:$F$100,2, FALSE)</f>
        <v>142.5</v>
      </c>
      <c r="DH34" s="75" t="s">
        <v>175</v>
      </c>
      <c r="DI34" s="202">
        <f>VLOOKUP(DD22,'2017'!$B$2:$F$100,3, FALSE)</f>
        <v>290</v>
      </c>
      <c r="DJ34" s="75">
        <f>VLOOKUP(DD22,'2017'!$B$2:$F$100,5, FALSE)</f>
        <v>17</v>
      </c>
      <c r="DK34" s="209">
        <f>VLOOKUP(DD22,'Weekly Wins'!$AT$3:$AU$100,2, FALSE)</f>
        <v>0.33333333333333331</v>
      </c>
    </row>
    <row r="35" spans="108:115" s="35" customFormat="1" x14ac:dyDescent="0.25">
      <c r="DD35" s="208">
        <v>2016</v>
      </c>
      <c r="DE35" s="75" t="str">
        <f>INDEX('2016'!$A$2:$A$100,MATCH(DD22,'2016'!$B$2:$B$100,0))</f>
        <v>15th</v>
      </c>
      <c r="DF35" s="200">
        <f t="shared" si="26"/>
        <v>0.43448275862068964</v>
      </c>
      <c r="DG35" s="201">
        <f>VLOOKUP(DD22,'2016'!$B$2:$F$100,2, FALSE)</f>
        <v>126</v>
      </c>
      <c r="DH35" s="75" t="s">
        <v>175</v>
      </c>
      <c r="DI35" s="202">
        <f>VLOOKUP(DD22,'2016'!$B$2:$F$100,3, FALSE)</f>
        <v>290</v>
      </c>
      <c r="DJ35" s="75">
        <f>VLOOKUP(DD22,'2016'!$B$2:$F$100,5, FALSE)</f>
        <v>9.5</v>
      </c>
      <c r="DK35" s="209">
        <f>VLOOKUP(DD22,'Weekly Wins'!$AW$3:$AX$100,2, FALSE)</f>
        <v>0.2</v>
      </c>
    </row>
    <row r="36" spans="108:115" s="35" customFormat="1" x14ac:dyDescent="0.25">
      <c r="DD36" s="208">
        <v>2015</v>
      </c>
      <c r="DE36" s="75" t="str">
        <f>INDEX('2015'!$A$2:$A$100,MATCH(DD22,'2015'!$B$2:$B$100,0))</f>
        <v>7th</v>
      </c>
      <c r="DF36" s="200">
        <f t="shared" si="26"/>
        <v>0.5128571428571429</v>
      </c>
      <c r="DG36" s="201">
        <f>VLOOKUP(DD22,'2015'!$B$2:$F$100,2, FALSE)</f>
        <v>179.5</v>
      </c>
      <c r="DH36" s="75" t="s">
        <v>175</v>
      </c>
      <c r="DI36" s="202">
        <f>VLOOKUP(DD22,'2015'!$B$2:$F$100,3, FALSE)</f>
        <v>350</v>
      </c>
      <c r="DJ36" s="75">
        <f>VLOOKUP(DD22,'2015'!$B$2:$F$100,5, FALSE)</f>
        <v>14</v>
      </c>
      <c r="DK36" s="209">
        <f>VLOOKUP(DD22,'Weekly Wins'!$AZ$3:$BA$100,2, FALSE)</f>
        <v>2</v>
      </c>
    </row>
    <row r="37" spans="108:115" s="35" customFormat="1" ht="15.75" thickBot="1" x14ac:dyDescent="0.3">
      <c r="DD37" s="210">
        <f>COUNT(DD25:DD36)</f>
        <v>11</v>
      </c>
      <c r="DE37" s="211" t="s">
        <v>352</v>
      </c>
      <c r="DF37" s="212">
        <f t="shared" si="26"/>
        <v>0.49633587786259542</v>
      </c>
      <c r="DG37" s="213">
        <f>SUM(DG25:DG36)</f>
        <v>1625.5</v>
      </c>
      <c r="DH37" s="214" t="s">
        <v>175</v>
      </c>
      <c r="DI37" s="211">
        <f>SUM(DI25:DI36)</f>
        <v>3275</v>
      </c>
      <c r="DJ37" s="214">
        <f>SUM(DJ25:DJ36)</f>
        <v>173.5</v>
      </c>
      <c r="DK37" s="215">
        <f>SUM(DK25:DK36)</f>
        <v>10.658333333333333</v>
      </c>
    </row>
    <row r="38" spans="108:115" s="35" customFormat="1" x14ac:dyDescent="0.25"/>
    <row r="39" spans="108:115" s="35" customFormat="1" x14ac:dyDescent="0.25"/>
    <row r="40" spans="108:115" s="35" customFormat="1" x14ac:dyDescent="0.25"/>
  </sheetData>
  <sortState xmlns:xlrd2="http://schemas.microsoft.com/office/spreadsheetml/2017/richdata2" ref="CU6:DB17">
    <sortCondition descending="1" ref="CU6:CU17"/>
  </sortState>
  <mergeCells count="84">
    <mergeCell ref="DV2:DX3"/>
    <mergeCell ref="DY2:EB2"/>
    <mergeCell ref="DY3:EB3"/>
    <mergeCell ref="DM22:DO23"/>
    <mergeCell ref="DP22:DS22"/>
    <mergeCell ref="DP23:DS23"/>
    <mergeCell ref="DM2:DO3"/>
    <mergeCell ref="DP2:DS2"/>
    <mergeCell ref="DP3:DS3"/>
    <mergeCell ref="DV22:DX23"/>
    <mergeCell ref="DY22:EB22"/>
    <mergeCell ref="DY23:EB23"/>
    <mergeCell ref="DD22:DF23"/>
    <mergeCell ref="DG22:DJ22"/>
    <mergeCell ref="DG23:DJ23"/>
    <mergeCell ref="CU2:CW3"/>
    <mergeCell ref="CX2:DA2"/>
    <mergeCell ref="CX3:DA3"/>
    <mergeCell ref="DG3:DJ3"/>
    <mergeCell ref="DG2:DJ2"/>
    <mergeCell ref="DD2:DF3"/>
    <mergeCell ref="EW2:EY3"/>
    <mergeCell ref="EZ2:FC2"/>
    <mergeCell ref="EZ3:FC3"/>
    <mergeCell ref="EE2:EG3"/>
    <mergeCell ref="EH2:EK2"/>
    <mergeCell ref="EH3:EK3"/>
    <mergeCell ref="EN2:EP3"/>
    <mergeCell ref="EQ2:ET2"/>
    <mergeCell ref="EQ3:ET3"/>
    <mergeCell ref="FF2:FH3"/>
    <mergeCell ref="FI2:FL2"/>
    <mergeCell ref="FI3:FL3"/>
    <mergeCell ref="FO2:FQ3"/>
    <mergeCell ref="FR2:FU2"/>
    <mergeCell ref="FR3:FU3"/>
    <mergeCell ref="FX2:FZ3"/>
    <mergeCell ref="GA2:GD2"/>
    <mergeCell ref="GA3:GD3"/>
    <mergeCell ref="GG2:GI3"/>
    <mergeCell ref="GJ2:GM2"/>
    <mergeCell ref="GJ3:GM3"/>
    <mergeCell ref="GP2:GR3"/>
    <mergeCell ref="GS2:GV2"/>
    <mergeCell ref="GS3:GV3"/>
    <mergeCell ref="GY2:HA3"/>
    <mergeCell ref="HB2:HE2"/>
    <mergeCell ref="HB3:HE3"/>
    <mergeCell ref="HH2:HJ3"/>
    <mergeCell ref="HK2:HN2"/>
    <mergeCell ref="HK3:HN3"/>
    <mergeCell ref="HQ2:HS3"/>
    <mergeCell ref="HT2:HW2"/>
    <mergeCell ref="HT3:HW3"/>
    <mergeCell ref="CC2:CE3"/>
    <mergeCell ref="CF2:CI2"/>
    <mergeCell ref="CF3:CI3"/>
    <mergeCell ref="CL2:CN3"/>
    <mergeCell ref="CO2:CR2"/>
    <mergeCell ref="CO3:CR3"/>
    <mergeCell ref="B2:D3"/>
    <mergeCell ref="E2:H2"/>
    <mergeCell ref="E3:H3"/>
    <mergeCell ref="BT2:BV3"/>
    <mergeCell ref="BW2:BZ2"/>
    <mergeCell ref="BW3:BZ3"/>
    <mergeCell ref="BK2:BM3"/>
    <mergeCell ref="BN2:BQ2"/>
    <mergeCell ref="BN3:BQ3"/>
    <mergeCell ref="BB2:BD3"/>
    <mergeCell ref="BE2:BH2"/>
    <mergeCell ref="BE3:BH3"/>
    <mergeCell ref="AS2:AU3"/>
    <mergeCell ref="AV2:AY2"/>
    <mergeCell ref="AV3:AY3"/>
    <mergeCell ref="AJ2:AL3"/>
    <mergeCell ref="AM2:AP2"/>
    <mergeCell ref="AM3:AP3"/>
    <mergeCell ref="R2:T3"/>
    <mergeCell ref="U2:X2"/>
    <mergeCell ref="U3:X3"/>
    <mergeCell ref="AA2:AC3"/>
    <mergeCell ref="AD2:AG2"/>
    <mergeCell ref="AD3:AG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7724C-9E69-4A2F-85EC-1212B83EECE3}">
  <dimension ref="A1:AW60"/>
  <sheetViews>
    <sheetView workbookViewId="0">
      <selection activeCell="H1" sqref="H1"/>
    </sheetView>
  </sheetViews>
  <sheetFormatPr defaultColWidth="8.85546875" defaultRowHeight="15" x14ac:dyDescent="0.25"/>
  <cols>
    <col min="1" max="1" width="3" bestFit="1" customWidth="1"/>
    <col min="2" max="2" width="19.7109375" customWidth="1"/>
    <col min="3" max="3" width="7.42578125" bestFit="1" customWidth="1"/>
    <col min="4" max="4" width="5.42578125" bestFit="1" customWidth="1"/>
    <col min="5" max="5" width="7.85546875" bestFit="1" customWidth="1"/>
    <col min="6" max="6" width="8.7109375" bestFit="1" customWidth="1"/>
    <col min="7" max="7" width="2.7109375" style="9" customWidth="1"/>
    <col min="8" max="8" width="5" style="9" bestFit="1" customWidth="1"/>
    <col min="9" max="26" width="4.85546875" style="9" bestFit="1" customWidth="1"/>
    <col min="27" max="27" width="5.42578125" style="9" bestFit="1" customWidth="1"/>
    <col min="28" max="28" width="2.7109375" style="9" customWidth="1"/>
    <col min="29" max="47" width="4.28515625" style="9" bestFit="1" customWidth="1"/>
    <col min="48" max="48" width="5.42578125" style="9" bestFit="1" customWidth="1"/>
    <col min="49" max="49" width="2.7109375" customWidth="1"/>
  </cols>
  <sheetData>
    <row r="1" spans="1:49" ht="19.5" thickBot="1" x14ac:dyDescent="0.35">
      <c r="A1" s="1"/>
      <c r="B1" s="2" t="s">
        <v>388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64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64"/>
      <c r="AW1" s="35"/>
    </row>
    <row r="2" spans="1:49" x14ac:dyDescent="0.25">
      <c r="A2" s="5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G2" s="3"/>
      <c r="H2" s="96" t="s">
        <v>295</v>
      </c>
      <c r="I2" s="96" t="s">
        <v>296</v>
      </c>
      <c r="J2" s="96" t="s">
        <v>297</v>
      </c>
      <c r="K2" s="96" t="s">
        <v>298</v>
      </c>
      <c r="L2" s="96" t="s">
        <v>299</v>
      </c>
      <c r="M2" s="96" t="s">
        <v>300</v>
      </c>
      <c r="N2" s="96" t="s">
        <v>301</v>
      </c>
      <c r="O2" s="96" t="s">
        <v>302</v>
      </c>
      <c r="P2" s="96" t="s">
        <v>303</v>
      </c>
      <c r="Q2" s="96" t="s">
        <v>304</v>
      </c>
      <c r="R2" s="96" t="s">
        <v>305</v>
      </c>
      <c r="S2" s="96" t="s">
        <v>306</v>
      </c>
      <c r="T2" s="96" t="s">
        <v>307</v>
      </c>
      <c r="U2" s="96" t="s">
        <v>308</v>
      </c>
      <c r="V2" s="96" t="s">
        <v>309</v>
      </c>
      <c r="W2" s="96" t="s">
        <v>310</v>
      </c>
      <c r="X2" s="96" t="s">
        <v>311</v>
      </c>
      <c r="Y2" s="96" t="s">
        <v>312</v>
      </c>
      <c r="Z2" s="96" t="s">
        <v>313</v>
      </c>
      <c r="AA2" s="187" t="s">
        <v>2</v>
      </c>
      <c r="AB2" s="3"/>
      <c r="AC2" s="96" t="s">
        <v>314</v>
      </c>
      <c r="AD2" s="96" t="s">
        <v>315</v>
      </c>
      <c r="AE2" s="96" t="s">
        <v>316</v>
      </c>
      <c r="AF2" s="96" t="s">
        <v>317</v>
      </c>
      <c r="AG2" s="96" t="s">
        <v>318</v>
      </c>
      <c r="AH2" s="96" t="s">
        <v>319</v>
      </c>
      <c r="AI2" s="96" t="s">
        <v>320</v>
      </c>
      <c r="AJ2" s="96" t="s">
        <v>321</v>
      </c>
      <c r="AK2" s="96" t="s">
        <v>322</v>
      </c>
      <c r="AL2" s="96" t="s">
        <v>323</v>
      </c>
      <c r="AM2" s="96" t="s">
        <v>324</v>
      </c>
      <c r="AN2" s="96" t="s">
        <v>325</v>
      </c>
      <c r="AO2" s="96" t="s">
        <v>326</v>
      </c>
      <c r="AP2" s="96" t="s">
        <v>327</v>
      </c>
      <c r="AQ2" s="96" t="s">
        <v>328</v>
      </c>
      <c r="AR2" s="96" t="s">
        <v>329</v>
      </c>
      <c r="AS2" s="96" t="s">
        <v>330</v>
      </c>
      <c r="AT2" s="96" t="s">
        <v>331</v>
      </c>
      <c r="AU2" s="96" t="s">
        <v>332</v>
      </c>
      <c r="AV2" s="187" t="s">
        <v>2</v>
      </c>
      <c r="AW2" s="35"/>
    </row>
    <row r="3" spans="1:49" x14ac:dyDescent="0.25">
      <c r="A3" s="1" t="s">
        <v>63</v>
      </c>
      <c r="B3" s="11" t="s">
        <v>68</v>
      </c>
      <c r="C3" s="12">
        <v>98</v>
      </c>
      <c r="D3" s="12">
        <v>180</v>
      </c>
      <c r="E3" s="13">
        <v>0.5444444444444444</v>
      </c>
      <c r="F3" s="14">
        <v>6.5</v>
      </c>
      <c r="G3" s="3"/>
      <c r="H3" s="9">
        <v>11</v>
      </c>
      <c r="I3" s="9">
        <v>10</v>
      </c>
      <c r="J3" s="9">
        <v>11</v>
      </c>
      <c r="K3" s="9">
        <v>11</v>
      </c>
      <c r="L3" s="9">
        <v>12</v>
      </c>
      <c r="M3" s="9">
        <v>9</v>
      </c>
      <c r="N3" s="9">
        <v>12</v>
      </c>
      <c r="O3" s="9">
        <v>11.5</v>
      </c>
      <c r="P3" s="9">
        <v>10.5</v>
      </c>
      <c r="AA3" s="10">
        <v>98</v>
      </c>
      <c r="AB3" s="3"/>
      <c r="AC3" s="9">
        <v>1</v>
      </c>
      <c r="AD3" s="9">
        <v>1</v>
      </c>
      <c r="AE3" s="9">
        <v>0</v>
      </c>
      <c r="AF3" s="9">
        <v>0.5</v>
      </c>
      <c r="AG3" s="9">
        <v>1</v>
      </c>
      <c r="AH3" s="9">
        <v>2</v>
      </c>
      <c r="AI3" s="9">
        <v>1</v>
      </c>
      <c r="AJ3" s="9">
        <v>0</v>
      </c>
      <c r="AK3" s="9">
        <v>0</v>
      </c>
      <c r="AV3" s="10">
        <v>6.5</v>
      </c>
      <c r="AW3" s="35"/>
    </row>
    <row r="4" spans="1:49" x14ac:dyDescent="0.25">
      <c r="A4" s="1" t="s">
        <v>63</v>
      </c>
      <c r="B4" s="11" t="s">
        <v>269</v>
      </c>
      <c r="C4" s="12">
        <v>97</v>
      </c>
      <c r="D4" s="12">
        <v>180</v>
      </c>
      <c r="E4" s="13">
        <v>0.53888888888888886</v>
      </c>
      <c r="F4" s="14">
        <v>9</v>
      </c>
      <c r="G4" s="3"/>
      <c r="H4" s="9">
        <v>11</v>
      </c>
      <c r="I4" s="9">
        <v>12</v>
      </c>
      <c r="J4" s="9">
        <v>9</v>
      </c>
      <c r="K4" s="9">
        <v>10</v>
      </c>
      <c r="L4" s="9">
        <v>14</v>
      </c>
      <c r="M4" s="9">
        <v>8</v>
      </c>
      <c r="N4" s="9">
        <v>12</v>
      </c>
      <c r="O4" s="9">
        <v>10.5</v>
      </c>
      <c r="P4" s="9">
        <v>10.5</v>
      </c>
      <c r="AA4" s="10">
        <v>97</v>
      </c>
      <c r="AB4" s="3"/>
      <c r="AC4" s="9">
        <v>1</v>
      </c>
      <c r="AD4" s="9">
        <v>1</v>
      </c>
      <c r="AE4" s="9">
        <v>1</v>
      </c>
      <c r="AF4" s="9">
        <v>1</v>
      </c>
      <c r="AG4" s="9">
        <v>2</v>
      </c>
      <c r="AH4" s="9">
        <v>1</v>
      </c>
      <c r="AI4" s="9">
        <v>1</v>
      </c>
      <c r="AJ4" s="9">
        <v>0</v>
      </c>
      <c r="AK4" s="9">
        <v>1</v>
      </c>
      <c r="AV4" s="10">
        <v>9</v>
      </c>
      <c r="AW4" s="35"/>
    </row>
    <row r="5" spans="1:49" x14ac:dyDescent="0.25">
      <c r="A5" s="1" t="s">
        <v>63</v>
      </c>
      <c r="B5" s="11" t="s">
        <v>55</v>
      </c>
      <c r="C5" s="12">
        <v>97</v>
      </c>
      <c r="D5" s="12">
        <v>180</v>
      </c>
      <c r="E5" s="13">
        <v>0.53888888888888886</v>
      </c>
      <c r="F5" s="14">
        <v>6</v>
      </c>
      <c r="G5" s="3"/>
      <c r="H5" s="9">
        <v>12</v>
      </c>
      <c r="I5" s="9">
        <v>12</v>
      </c>
      <c r="J5" s="9">
        <v>9</v>
      </c>
      <c r="K5" s="9">
        <v>10</v>
      </c>
      <c r="L5" s="9">
        <v>8</v>
      </c>
      <c r="M5" s="9">
        <v>14</v>
      </c>
      <c r="N5" s="9">
        <v>9</v>
      </c>
      <c r="O5" s="9">
        <v>11.5</v>
      </c>
      <c r="P5" s="9">
        <v>11.5</v>
      </c>
      <c r="AA5" s="10">
        <v>97</v>
      </c>
      <c r="AB5" s="3"/>
      <c r="AC5" s="9">
        <v>2</v>
      </c>
      <c r="AD5" s="9">
        <v>1</v>
      </c>
      <c r="AE5" s="9">
        <v>0</v>
      </c>
      <c r="AF5" s="9">
        <v>2</v>
      </c>
      <c r="AG5" s="9">
        <v>1</v>
      </c>
      <c r="AH5" s="9">
        <v>0</v>
      </c>
      <c r="AI5" s="9">
        <v>0</v>
      </c>
      <c r="AJ5" s="9">
        <v>0</v>
      </c>
      <c r="AK5" s="9">
        <v>0</v>
      </c>
      <c r="AV5" s="10">
        <v>6</v>
      </c>
      <c r="AW5" s="35"/>
    </row>
    <row r="6" spans="1:49" x14ac:dyDescent="0.25">
      <c r="A6" s="1" t="s">
        <v>63</v>
      </c>
      <c r="B6" s="11" t="s">
        <v>194</v>
      </c>
      <c r="C6" s="12">
        <v>95</v>
      </c>
      <c r="D6" s="12">
        <v>180</v>
      </c>
      <c r="E6" s="13">
        <v>0.52777777777777779</v>
      </c>
      <c r="F6" s="14">
        <v>10</v>
      </c>
      <c r="G6" s="3"/>
      <c r="H6" s="9">
        <v>12</v>
      </c>
      <c r="I6" s="9">
        <v>10</v>
      </c>
      <c r="J6" s="9">
        <v>9</v>
      </c>
      <c r="K6" s="9">
        <v>11</v>
      </c>
      <c r="L6" s="9">
        <v>11</v>
      </c>
      <c r="M6" s="9">
        <v>13</v>
      </c>
      <c r="N6" s="9">
        <v>9</v>
      </c>
      <c r="O6" s="9">
        <v>10.5</v>
      </c>
      <c r="P6" s="9">
        <v>9.5</v>
      </c>
      <c r="AA6" s="10">
        <v>95</v>
      </c>
      <c r="AB6" s="3"/>
      <c r="AC6" s="9">
        <v>2</v>
      </c>
      <c r="AD6" s="9">
        <v>1</v>
      </c>
      <c r="AE6" s="9">
        <v>0</v>
      </c>
      <c r="AF6" s="9">
        <v>1</v>
      </c>
      <c r="AG6" s="9">
        <v>2</v>
      </c>
      <c r="AH6" s="9">
        <v>0</v>
      </c>
      <c r="AI6" s="9">
        <v>0</v>
      </c>
      <c r="AJ6" s="9">
        <v>2</v>
      </c>
      <c r="AK6" s="9">
        <v>2</v>
      </c>
      <c r="AV6" s="10">
        <v>10</v>
      </c>
      <c r="AW6" s="35"/>
    </row>
    <row r="7" spans="1:49" x14ac:dyDescent="0.25">
      <c r="A7" s="1" t="s">
        <v>63</v>
      </c>
      <c r="B7" s="11" t="s">
        <v>240</v>
      </c>
      <c r="C7" s="12">
        <v>95</v>
      </c>
      <c r="D7" s="12">
        <v>180</v>
      </c>
      <c r="E7" s="13">
        <v>0.52777777777777779</v>
      </c>
      <c r="F7" s="14">
        <v>6</v>
      </c>
      <c r="G7" s="3"/>
      <c r="H7" s="9">
        <v>8</v>
      </c>
      <c r="I7" s="9">
        <v>10</v>
      </c>
      <c r="J7" s="9">
        <v>13</v>
      </c>
      <c r="K7" s="9">
        <v>10</v>
      </c>
      <c r="L7" s="9">
        <v>12</v>
      </c>
      <c r="M7" s="9">
        <v>13</v>
      </c>
      <c r="N7" s="9">
        <v>12</v>
      </c>
      <c r="O7" s="9">
        <v>7.5</v>
      </c>
      <c r="P7" s="9">
        <v>9.5</v>
      </c>
      <c r="AA7" s="10">
        <v>95</v>
      </c>
      <c r="AB7" s="3"/>
      <c r="AC7" s="9">
        <v>1</v>
      </c>
      <c r="AD7" s="9">
        <v>2</v>
      </c>
      <c r="AE7" s="9">
        <v>0</v>
      </c>
      <c r="AF7" s="9">
        <v>0</v>
      </c>
      <c r="AG7" s="9">
        <v>1</v>
      </c>
      <c r="AH7" s="9">
        <v>1</v>
      </c>
      <c r="AI7" s="9">
        <v>0</v>
      </c>
      <c r="AJ7" s="9">
        <v>0</v>
      </c>
      <c r="AK7" s="9">
        <v>1</v>
      </c>
      <c r="AV7" s="10">
        <v>6</v>
      </c>
      <c r="AW7" s="35"/>
    </row>
    <row r="8" spans="1:49" x14ac:dyDescent="0.25">
      <c r="A8" s="1" t="s">
        <v>63</v>
      </c>
      <c r="B8" s="11" t="s">
        <v>54</v>
      </c>
      <c r="C8" s="12">
        <v>93</v>
      </c>
      <c r="D8" s="12">
        <v>180</v>
      </c>
      <c r="E8" s="13">
        <v>0.51666666666666672</v>
      </c>
      <c r="F8" s="14">
        <v>8</v>
      </c>
      <c r="G8" s="3"/>
      <c r="H8" s="9">
        <v>11</v>
      </c>
      <c r="I8" s="9">
        <v>14</v>
      </c>
      <c r="J8" s="9">
        <v>8</v>
      </c>
      <c r="K8" s="9">
        <v>9</v>
      </c>
      <c r="L8" s="9">
        <v>10</v>
      </c>
      <c r="M8" s="9">
        <v>10</v>
      </c>
      <c r="N8" s="9">
        <v>8</v>
      </c>
      <c r="O8" s="9">
        <v>11.5</v>
      </c>
      <c r="P8" s="9">
        <v>11.5</v>
      </c>
      <c r="AA8" s="10">
        <v>93</v>
      </c>
      <c r="AB8" s="3"/>
      <c r="AC8" s="9">
        <v>1</v>
      </c>
      <c r="AD8" s="9">
        <v>2</v>
      </c>
      <c r="AE8" s="9">
        <v>0</v>
      </c>
      <c r="AF8" s="9">
        <v>0</v>
      </c>
      <c r="AG8" s="9">
        <v>1</v>
      </c>
      <c r="AH8" s="9">
        <v>1</v>
      </c>
      <c r="AI8" s="9">
        <v>1</v>
      </c>
      <c r="AJ8" s="9">
        <v>0</v>
      </c>
      <c r="AK8" s="9">
        <v>2</v>
      </c>
      <c r="AV8" s="10">
        <v>8</v>
      </c>
      <c r="AW8" s="35"/>
    </row>
    <row r="9" spans="1:49" x14ac:dyDescent="0.25">
      <c r="A9" s="1" t="s">
        <v>63</v>
      </c>
      <c r="B9" s="11" t="s">
        <v>268</v>
      </c>
      <c r="C9" s="12">
        <v>92</v>
      </c>
      <c r="D9" s="12">
        <v>180</v>
      </c>
      <c r="E9" s="13">
        <v>0.51111111111111107</v>
      </c>
      <c r="F9" s="14">
        <v>10</v>
      </c>
      <c r="G9" s="3"/>
      <c r="H9" s="9">
        <v>12</v>
      </c>
      <c r="I9" s="9">
        <v>11</v>
      </c>
      <c r="J9" s="9">
        <v>8</v>
      </c>
      <c r="K9" s="9">
        <v>9</v>
      </c>
      <c r="L9" s="9">
        <v>9</v>
      </c>
      <c r="M9" s="9">
        <v>11</v>
      </c>
      <c r="N9" s="9">
        <v>11</v>
      </c>
      <c r="O9" s="9">
        <v>9.5</v>
      </c>
      <c r="P9" s="9">
        <v>11.5</v>
      </c>
      <c r="AA9" s="10">
        <v>92</v>
      </c>
      <c r="AB9" s="3"/>
      <c r="AC9" s="9">
        <v>1</v>
      </c>
      <c r="AD9" s="9">
        <v>2</v>
      </c>
      <c r="AE9" s="9">
        <v>0</v>
      </c>
      <c r="AF9" s="9">
        <v>1</v>
      </c>
      <c r="AG9" s="9">
        <v>0</v>
      </c>
      <c r="AH9" s="9">
        <v>1</v>
      </c>
      <c r="AI9" s="9">
        <v>2</v>
      </c>
      <c r="AJ9" s="9">
        <v>1</v>
      </c>
      <c r="AK9" s="9">
        <v>2</v>
      </c>
      <c r="AV9" s="10">
        <v>10</v>
      </c>
      <c r="AW9" s="35"/>
    </row>
    <row r="10" spans="1:49" x14ac:dyDescent="0.25">
      <c r="A10" s="1" t="s">
        <v>63</v>
      </c>
      <c r="B10" s="11" t="s">
        <v>47</v>
      </c>
      <c r="C10" s="12">
        <v>91</v>
      </c>
      <c r="D10" s="12">
        <v>180</v>
      </c>
      <c r="E10" s="13">
        <v>0.50555555555555554</v>
      </c>
      <c r="F10" s="14">
        <v>10</v>
      </c>
      <c r="G10" s="3"/>
      <c r="H10" s="9">
        <v>12</v>
      </c>
      <c r="I10" s="9">
        <v>8</v>
      </c>
      <c r="J10" s="9">
        <v>11</v>
      </c>
      <c r="K10" s="9">
        <v>11</v>
      </c>
      <c r="L10" s="9">
        <v>10</v>
      </c>
      <c r="M10" s="9">
        <v>11</v>
      </c>
      <c r="N10" s="9">
        <v>11</v>
      </c>
      <c r="O10" s="9">
        <v>12.5</v>
      </c>
      <c r="P10" s="9">
        <v>4.5</v>
      </c>
      <c r="AA10" s="10">
        <v>91</v>
      </c>
      <c r="AB10" s="3"/>
      <c r="AC10" s="9">
        <v>1</v>
      </c>
      <c r="AD10" s="9">
        <v>1</v>
      </c>
      <c r="AE10" s="9">
        <v>1</v>
      </c>
      <c r="AF10" s="9">
        <v>2</v>
      </c>
      <c r="AG10" s="9">
        <v>2</v>
      </c>
      <c r="AH10" s="9">
        <v>1</v>
      </c>
      <c r="AI10" s="9">
        <v>1</v>
      </c>
      <c r="AJ10" s="9">
        <v>1</v>
      </c>
      <c r="AK10" s="9">
        <v>0</v>
      </c>
      <c r="AV10" s="10">
        <v>10</v>
      </c>
      <c r="AW10" s="35"/>
    </row>
    <row r="11" spans="1:49" x14ac:dyDescent="0.25">
      <c r="A11" s="1" t="s">
        <v>63</v>
      </c>
      <c r="B11" s="11" t="s">
        <v>191</v>
      </c>
      <c r="C11" s="12">
        <v>91</v>
      </c>
      <c r="D11" s="12">
        <v>180</v>
      </c>
      <c r="E11" s="13">
        <v>0.50555555555555554</v>
      </c>
      <c r="F11" s="14">
        <v>9</v>
      </c>
      <c r="G11" s="3"/>
      <c r="H11" s="9">
        <v>12</v>
      </c>
      <c r="I11" s="9">
        <v>7</v>
      </c>
      <c r="J11" s="9">
        <v>11</v>
      </c>
      <c r="K11" s="9">
        <v>11</v>
      </c>
      <c r="L11" s="9">
        <v>10</v>
      </c>
      <c r="M11" s="9">
        <v>10</v>
      </c>
      <c r="N11" s="9">
        <v>6</v>
      </c>
      <c r="O11" s="9">
        <v>11.5</v>
      </c>
      <c r="P11" s="9">
        <v>12.5</v>
      </c>
      <c r="AA11" s="10">
        <v>91</v>
      </c>
      <c r="AB11" s="3"/>
      <c r="AC11" s="9">
        <v>2</v>
      </c>
      <c r="AD11" s="9">
        <v>0</v>
      </c>
      <c r="AE11" s="9">
        <v>1</v>
      </c>
      <c r="AF11" s="9">
        <v>0</v>
      </c>
      <c r="AG11" s="9">
        <v>1</v>
      </c>
      <c r="AH11" s="9">
        <v>2</v>
      </c>
      <c r="AI11" s="9">
        <v>1</v>
      </c>
      <c r="AJ11" s="9">
        <v>1</v>
      </c>
      <c r="AK11" s="9">
        <v>1</v>
      </c>
      <c r="AV11" s="10">
        <v>9</v>
      </c>
      <c r="AW11" s="35"/>
    </row>
    <row r="12" spans="1:49" x14ac:dyDescent="0.25">
      <c r="A12" s="1" t="s">
        <v>63</v>
      </c>
      <c r="B12" s="11" t="s">
        <v>213</v>
      </c>
      <c r="C12" s="12">
        <v>91</v>
      </c>
      <c r="D12" s="12">
        <v>180</v>
      </c>
      <c r="E12" s="13">
        <v>0.50555555555555554</v>
      </c>
      <c r="F12" s="14">
        <v>7.5</v>
      </c>
      <c r="G12" s="3"/>
      <c r="H12" s="9">
        <v>13</v>
      </c>
      <c r="I12" s="9">
        <v>16</v>
      </c>
      <c r="J12" s="9">
        <v>7</v>
      </c>
      <c r="K12" s="9">
        <v>9</v>
      </c>
      <c r="L12" s="9">
        <v>9</v>
      </c>
      <c r="M12" s="9">
        <v>11</v>
      </c>
      <c r="N12" s="9">
        <v>10</v>
      </c>
      <c r="O12" s="9">
        <v>7.5</v>
      </c>
      <c r="P12" s="9">
        <v>8.5</v>
      </c>
      <c r="AA12" s="10">
        <v>91</v>
      </c>
      <c r="AB12" s="3"/>
      <c r="AC12" s="9">
        <v>1</v>
      </c>
      <c r="AD12" s="9">
        <v>1</v>
      </c>
      <c r="AE12" s="9">
        <v>1</v>
      </c>
      <c r="AF12" s="9">
        <v>1</v>
      </c>
      <c r="AG12" s="9">
        <v>1</v>
      </c>
      <c r="AH12" s="9">
        <v>1</v>
      </c>
      <c r="AI12" s="9">
        <v>0</v>
      </c>
      <c r="AJ12" s="9">
        <v>1.5</v>
      </c>
      <c r="AK12" s="9">
        <v>0</v>
      </c>
      <c r="AV12" s="10">
        <v>7.5</v>
      </c>
      <c r="AW12" s="35"/>
    </row>
    <row r="13" spans="1:49" x14ac:dyDescent="0.25">
      <c r="A13" s="1" t="s">
        <v>63</v>
      </c>
      <c r="B13" s="11" t="s">
        <v>62</v>
      </c>
      <c r="C13" s="12">
        <v>89</v>
      </c>
      <c r="D13" s="12">
        <v>180</v>
      </c>
      <c r="E13" s="13">
        <v>0.49444444444444446</v>
      </c>
      <c r="F13" s="14">
        <v>9.5</v>
      </c>
      <c r="G13" s="3"/>
      <c r="H13" s="9">
        <v>10</v>
      </c>
      <c r="I13" s="9">
        <v>13</v>
      </c>
      <c r="J13" s="9">
        <v>6</v>
      </c>
      <c r="K13" s="9">
        <v>8</v>
      </c>
      <c r="L13" s="9">
        <v>10</v>
      </c>
      <c r="M13" s="9">
        <v>11</v>
      </c>
      <c r="N13" s="9">
        <v>11</v>
      </c>
      <c r="O13" s="9">
        <v>10.5</v>
      </c>
      <c r="P13" s="9">
        <v>9.5</v>
      </c>
      <c r="AA13" s="10">
        <v>89</v>
      </c>
      <c r="AB13" s="3"/>
      <c r="AC13" s="9">
        <v>2</v>
      </c>
      <c r="AD13" s="9">
        <v>1</v>
      </c>
      <c r="AE13" s="9">
        <v>0</v>
      </c>
      <c r="AF13" s="9">
        <v>0</v>
      </c>
      <c r="AG13" s="9">
        <v>2</v>
      </c>
      <c r="AH13" s="9">
        <v>2</v>
      </c>
      <c r="AI13" s="9">
        <v>1</v>
      </c>
      <c r="AJ13" s="9">
        <v>0</v>
      </c>
      <c r="AK13" s="9">
        <v>1.5</v>
      </c>
      <c r="AV13" s="10">
        <v>9.5</v>
      </c>
      <c r="AW13" s="35"/>
    </row>
    <row r="14" spans="1:49" x14ac:dyDescent="0.25">
      <c r="A14" s="1" t="s">
        <v>63</v>
      </c>
      <c r="B14" s="11" t="s">
        <v>43</v>
      </c>
      <c r="C14" s="12">
        <v>87</v>
      </c>
      <c r="D14" s="12">
        <v>180</v>
      </c>
      <c r="E14" s="13">
        <v>0.48333333333333334</v>
      </c>
      <c r="F14" s="14">
        <v>11</v>
      </c>
      <c r="G14" s="3"/>
      <c r="H14" s="9">
        <v>12</v>
      </c>
      <c r="I14" s="9">
        <v>12</v>
      </c>
      <c r="J14" s="9">
        <v>9</v>
      </c>
      <c r="K14" s="9">
        <v>10</v>
      </c>
      <c r="L14" s="9">
        <v>7</v>
      </c>
      <c r="M14" s="9">
        <v>6</v>
      </c>
      <c r="N14" s="9">
        <v>9</v>
      </c>
      <c r="O14" s="9">
        <v>11.5</v>
      </c>
      <c r="P14" s="9">
        <v>10.5</v>
      </c>
      <c r="AA14" s="10">
        <v>87</v>
      </c>
      <c r="AB14" s="3"/>
      <c r="AC14" s="9">
        <v>2</v>
      </c>
      <c r="AD14" s="9">
        <v>2</v>
      </c>
      <c r="AE14" s="9">
        <v>0</v>
      </c>
      <c r="AF14" s="9">
        <v>1</v>
      </c>
      <c r="AG14" s="9">
        <v>2</v>
      </c>
      <c r="AH14" s="9">
        <v>1</v>
      </c>
      <c r="AI14" s="9">
        <v>0</v>
      </c>
      <c r="AJ14" s="9">
        <v>2</v>
      </c>
      <c r="AK14" s="9">
        <v>1</v>
      </c>
      <c r="AV14" s="10">
        <v>11</v>
      </c>
      <c r="AW14" s="35"/>
    </row>
    <row r="15" spans="1:49" x14ac:dyDescent="0.25">
      <c r="A15" s="1" t="s">
        <v>63</v>
      </c>
      <c r="B15" s="11" t="s">
        <v>212</v>
      </c>
      <c r="C15" s="12">
        <v>87</v>
      </c>
      <c r="D15" s="12">
        <v>180</v>
      </c>
      <c r="E15" s="13">
        <v>0.48333333333333334</v>
      </c>
      <c r="F15" s="14">
        <v>10</v>
      </c>
      <c r="G15" s="3"/>
      <c r="H15" s="9">
        <v>11</v>
      </c>
      <c r="I15" s="9">
        <v>13</v>
      </c>
      <c r="J15" s="9">
        <v>8</v>
      </c>
      <c r="K15" s="9">
        <v>9</v>
      </c>
      <c r="L15" s="9">
        <v>8</v>
      </c>
      <c r="M15" s="9">
        <v>7</v>
      </c>
      <c r="N15" s="9">
        <v>10</v>
      </c>
      <c r="O15" s="9">
        <v>11.5</v>
      </c>
      <c r="P15" s="9">
        <v>9.5</v>
      </c>
      <c r="AA15" s="10">
        <v>87</v>
      </c>
      <c r="AB15" s="3"/>
      <c r="AC15" s="9">
        <v>1</v>
      </c>
      <c r="AD15" s="9">
        <v>1</v>
      </c>
      <c r="AE15" s="9">
        <v>1</v>
      </c>
      <c r="AF15" s="9">
        <v>0.5</v>
      </c>
      <c r="AG15" s="9">
        <v>1</v>
      </c>
      <c r="AH15" s="9">
        <v>1</v>
      </c>
      <c r="AI15" s="9">
        <v>1</v>
      </c>
      <c r="AJ15" s="9">
        <v>2</v>
      </c>
      <c r="AK15" s="9">
        <v>1.5</v>
      </c>
      <c r="AV15" s="10">
        <v>10</v>
      </c>
      <c r="AW15" s="35"/>
    </row>
    <row r="16" spans="1:49" x14ac:dyDescent="0.25">
      <c r="A16" s="1" t="s">
        <v>63</v>
      </c>
      <c r="B16" s="11" t="s">
        <v>50</v>
      </c>
      <c r="C16" s="12">
        <v>87</v>
      </c>
      <c r="D16" s="12">
        <v>180</v>
      </c>
      <c r="E16" s="13">
        <v>0.48333333333333334</v>
      </c>
      <c r="F16" s="14">
        <v>9</v>
      </c>
      <c r="G16" s="3"/>
      <c r="H16" s="9">
        <v>10</v>
      </c>
      <c r="I16" s="9">
        <v>10</v>
      </c>
      <c r="J16" s="9">
        <v>8</v>
      </c>
      <c r="K16" s="9">
        <v>11</v>
      </c>
      <c r="L16" s="9">
        <v>10</v>
      </c>
      <c r="M16" s="9">
        <v>10</v>
      </c>
      <c r="N16" s="9">
        <v>7</v>
      </c>
      <c r="O16" s="9">
        <v>11.5</v>
      </c>
      <c r="P16" s="9">
        <v>9.5</v>
      </c>
      <c r="AA16" s="10">
        <v>87</v>
      </c>
      <c r="AB16" s="3"/>
      <c r="AC16" s="9">
        <v>2</v>
      </c>
      <c r="AD16" s="9">
        <v>0</v>
      </c>
      <c r="AE16" s="9">
        <v>1</v>
      </c>
      <c r="AF16" s="9">
        <v>1</v>
      </c>
      <c r="AG16" s="9">
        <v>1</v>
      </c>
      <c r="AH16" s="9">
        <v>2</v>
      </c>
      <c r="AI16" s="9">
        <v>1</v>
      </c>
      <c r="AJ16" s="9">
        <v>1</v>
      </c>
      <c r="AK16" s="9">
        <v>0</v>
      </c>
      <c r="AV16" s="10">
        <v>9</v>
      </c>
      <c r="AW16" s="35"/>
    </row>
    <row r="17" spans="1:49" x14ac:dyDescent="0.25">
      <c r="A17" s="1" t="s">
        <v>63</v>
      </c>
      <c r="B17" s="11" t="s">
        <v>46</v>
      </c>
      <c r="C17" s="12">
        <v>87</v>
      </c>
      <c r="D17" s="12">
        <v>180</v>
      </c>
      <c r="E17" s="13">
        <v>0.48333333333333334</v>
      </c>
      <c r="F17" s="14">
        <v>7.5</v>
      </c>
      <c r="G17" s="3"/>
      <c r="H17" s="9">
        <v>12</v>
      </c>
      <c r="I17" s="9">
        <v>10</v>
      </c>
      <c r="J17" s="9">
        <v>11</v>
      </c>
      <c r="K17" s="9">
        <v>9</v>
      </c>
      <c r="L17" s="9">
        <v>8</v>
      </c>
      <c r="M17" s="9">
        <v>9</v>
      </c>
      <c r="N17" s="9">
        <v>9</v>
      </c>
      <c r="O17" s="9">
        <v>11.5</v>
      </c>
      <c r="P17" s="9">
        <v>7.5</v>
      </c>
      <c r="AA17" s="10">
        <v>87</v>
      </c>
      <c r="AB17" s="3"/>
      <c r="AC17" s="9">
        <v>1</v>
      </c>
      <c r="AD17" s="9">
        <v>0</v>
      </c>
      <c r="AE17" s="9">
        <v>2</v>
      </c>
      <c r="AF17" s="9">
        <v>0.5</v>
      </c>
      <c r="AG17" s="9">
        <v>1</v>
      </c>
      <c r="AH17" s="9">
        <v>0</v>
      </c>
      <c r="AI17" s="9">
        <v>0</v>
      </c>
      <c r="AJ17" s="9">
        <v>2</v>
      </c>
      <c r="AK17" s="9">
        <v>1</v>
      </c>
      <c r="AV17" s="10">
        <v>7.5</v>
      </c>
      <c r="AW17" s="35"/>
    </row>
    <row r="18" spans="1:49" x14ac:dyDescent="0.25">
      <c r="A18" s="1" t="s">
        <v>63</v>
      </c>
      <c r="B18" s="11" t="s">
        <v>196</v>
      </c>
      <c r="C18" s="12">
        <v>87</v>
      </c>
      <c r="D18" s="12">
        <v>180</v>
      </c>
      <c r="E18" s="13">
        <v>0.48333333333333334</v>
      </c>
      <c r="F18" s="14">
        <v>6.5</v>
      </c>
      <c r="G18" s="3"/>
      <c r="H18" s="9">
        <v>11</v>
      </c>
      <c r="I18" s="9">
        <v>13</v>
      </c>
      <c r="J18" s="9">
        <v>6</v>
      </c>
      <c r="K18" s="9">
        <v>11</v>
      </c>
      <c r="L18" s="9">
        <v>8</v>
      </c>
      <c r="M18" s="9">
        <v>9</v>
      </c>
      <c r="N18" s="9">
        <v>10</v>
      </c>
      <c r="O18" s="9">
        <v>10.5</v>
      </c>
      <c r="P18" s="9">
        <v>8.5</v>
      </c>
      <c r="AA18" s="10">
        <v>87</v>
      </c>
      <c r="AB18" s="3"/>
      <c r="AC18" s="9">
        <v>0</v>
      </c>
      <c r="AD18" s="9">
        <v>2</v>
      </c>
      <c r="AE18" s="9">
        <v>0</v>
      </c>
      <c r="AF18" s="9">
        <v>0.5</v>
      </c>
      <c r="AG18" s="9">
        <v>1</v>
      </c>
      <c r="AH18" s="9">
        <v>1</v>
      </c>
      <c r="AI18" s="9">
        <v>1</v>
      </c>
      <c r="AJ18" s="9">
        <v>1</v>
      </c>
      <c r="AK18" s="9">
        <v>0</v>
      </c>
      <c r="AV18" s="10">
        <v>6.5</v>
      </c>
      <c r="AW18" s="35"/>
    </row>
    <row r="19" spans="1:49" x14ac:dyDescent="0.25">
      <c r="A19" s="1" t="s">
        <v>63</v>
      </c>
      <c r="B19" s="11" t="s">
        <v>57</v>
      </c>
      <c r="C19" s="12">
        <v>87</v>
      </c>
      <c r="D19" s="12">
        <v>180</v>
      </c>
      <c r="E19" s="13">
        <v>0.48333333333333334</v>
      </c>
      <c r="F19" s="14">
        <v>4</v>
      </c>
      <c r="G19" s="3"/>
      <c r="H19" s="9">
        <v>11</v>
      </c>
      <c r="I19" s="9">
        <v>9</v>
      </c>
      <c r="J19" s="9">
        <v>9</v>
      </c>
      <c r="K19" s="9">
        <v>7</v>
      </c>
      <c r="L19" s="9">
        <v>12</v>
      </c>
      <c r="M19" s="9">
        <v>10</v>
      </c>
      <c r="N19" s="9">
        <v>10</v>
      </c>
      <c r="O19" s="9">
        <v>9.5</v>
      </c>
      <c r="P19" s="9">
        <v>9.5</v>
      </c>
      <c r="AA19" s="10">
        <v>87</v>
      </c>
      <c r="AB19" s="3"/>
      <c r="AC19" s="9">
        <v>0</v>
      </c>
      <c r="AD19" s="9">
        <v>0</v>
      </c>
      <c r="AE19" s="9">
        <v>1</v>
      </c>
      <c r="AF19" s="9">
        <v>0</v>
      </c>
      <c r="AG19" s="9">
        <v>2</v>
      </c>
      <c r="AH19" s="9">
        <v>0</v>
      </c>
      <c r="AI19" s="9">
        <v>0</v>
      </c>
      <c r="AJ19" s="9">
        <v>0</v>
      </c>
      <c r="AK19" s="9">
        <v>1</v>
      </c>
      <c r="AV19" s="10">
        <v>4</v>
      </c>
      <c r="AW19" s="35"/>
    </row>
    <row r="20" spans="1:49" x14ac:dyDescent="0.25">
      <c r="A20" s="1" t="s">
        <v>63</v>
      </c>
      <c r="B20" s="11" t="s">
        <v>216</v>
      </c>
      <c r="C20" s="12">
        <v>86</v>
      </c>
      <c r="D20" s="12">
        <v>180</v>
      </c>
      <c r="E20" s="13">
        <v>0.4777777777777778</v>
      </c>
      <c r="F20" s="14">
        <v>9.5</v>
      </c>
      <c r="G20" s="3"/>
      <c r="H20" s="9">
        <v>12</v>
      </c>
      <c r="I20" s="9">
        <v>7</v>
      </c>
      <c r="J20" s="9">
        <v>8</v>
      </c>
      <c r="K20" s="9">
        <v>10</v>
      </c>
      <c r="L20" s="9">
        <v>10</v>
      </c>
      <c r="M20" s="9">
        <v>11</v>
      </c>
      <c r="N20" s="9">
        <v>10</v>
      </c>
      <c r="O20" s="9">
        <v>8.5</v>
      </c>
      <c r="P20" s="9">
        <v>9.5</v>
      </c>
      <c r="AA20" s="10">
        <v>86</v>
      </c>
      <c r="AB20" s="3"/>
      <c r="AC20" s="9">
        <v>1</v>
      </c>
      <c r="AD20" s="9">
        <v>1</v>
      </c>
      <c r="AE20" s="9">
        <v>1</v>
      </c>
      <c r="AF20" s="9">
        <v>1</v>
      </c>
      <c r="AG20" s="9">
        <v>2</v>
      </c>
      <c r="AH20" s="9">
        <v>1</v>
      </c>
      <c r="AI20" s="9">
        <v>0</v>
      </c>
      <c r="AJ20" s="9">
        <v>0.5</v>
      </c>
      <c r="AK20" s="9">
        <v>2</v>
      </c>
      <c r="AV20" s="10">
        <v>9.5</v>
      </c>
      <c r="AW20" s="35"/>
    </row>
    <row r="21" spans="1:49" x14ac:dyDescent="0.25">
      <c r="A21" s="1" t="s">
        <v>63</v>
      </c>
      <c r="B21" s="11" t="s">
        <v>42</v>
      </c>
      <c r="C21" s="12">
        <v>86</v>
      </c>
      <c r="D21" s="12">
        <v>180</v>
      </c>
      <c r="E21" s="13">
        <v>0.4777777777777778</v>
      </c>
      <c r="F21" s="14">
        <v>9</v>
      </c>
      <c r="G21" s="3"/>
      <c r="H21" s="9">
        <v>10</v>
      </c>
      <c r="I21" s="9">
        <v>10</v>
      </c>
      <c r="J21" s="9">
        <v>10</v>
      </c>
      <c r="K21" s="9">
        <v>8</v>
      </c>
      <c r="L21" s="9">
        <v>9</v>
      </c>
      <c r="M21" s="9">
        <v>10</v>
      </c>
      <c r="N21" s="9">
        <v>10</v>
      </c>
      <c r="O21" s="9">
        <v>12.5</v>
      </c>
      <c r="P21" s="9">
        <v>6.5</v>
      </c>
      <c r="AA21" s="10">
        <v>86</v>
      </c>
      <c r="AB21" s="3"/>
      <c r="AC21" s="9">
        <v>0</v>
      </c>
      <c r="AD21" s="9">
        <v>2</v>
      </c>
      <c r="AE21" s="9">
        <v>1</v>
      </c>
      <c r="AF21" s="9">
        <v>2</v>
      </c>
      <c r="AG21" s="9">
        <v>1</v>
      </c>
      <c r="AH21" s="9">
        <v>1</v>
      </c>
      <c r="AI21" s="9">
        <v>0</v>
      </c>
      <c r="AJ21" s="9">
        <v>2</v>
      </c>
      <c r="AK21" s="9">
        <v>0</v>
      </c>
      <c r="AV21" s="10">
        <v>9</v>
      </c>
      <c r="AW21" s="35"/>
    </row>
    <row r="22" spans="1:49" x14ac:dyDescent="0.25">
      <c r="A22" s="1" t="s">
        <v>63</v>
      </c>
      <c r="B22" s="11" t="s">
        <v>51</v>
      </c>
      <c r="C22" s="12">
        <v>86</v>
      </c>
      <c r="D22" s="12">
        <v>180</v>
      </c>
      <c r="E22" s="13">
        <v>0.4777777777777778</v>
      </c>
      <c r="F22" s="14">
        <v>7.5</v>
      </c>
      <c r="G22" s="3"/>
      <c r="H22" s="9">
        <v>12</v>
      </c>
      <c r="I22" s="9">
        <v>11</v>
      </c>
      <c r="J22" s="9">
        <v>7</v>
      </c>
      <c r="K22" s="9">
        <v>10</v>
      </c>
      <c r="L22" s="9">
        <v>8</v>
      </c>
      <c r="M22" s="9">
        <v>7</v>
      </c>
      <c r="N22" s="9">
        <v>8</v>
      </c>
      <c r="O22" s="9">
        <v>12.5</v>
      </c>
      <c r="P22" s="9">
        <v>10.5</v>
      </c>
      <c r="AA22" s="10">
        <v>86</v>
      </c>
      <c r="AB22" s="3"/>
      <c r="AC22" s="9">
        <v>2</v>
      </c>
      <c r="AD22" s="9">
        <v>0</v>
      </c>
      <c r="AE22" s="9">
        <v>1</v>
      </c>
      <c r="AF22" s="9">
        <v>1</v>
      </c>
      <c r="AG22" s="9">
        <v>1</v>
      </c>
      <c r="AH22" s="9">
        <v>0</v>
      </c>
      <c r="AI22" s="9">
        <v>0</v>
      </c>
      <c r="AJ22" s="9">
        <v>1</v>
      </c>
      <c r="AK22" s="9">
        <v>1.5</v>
      </c>
      <c r="AV22" s="10">
        <v>7.5</v>
      </c>
      <c r="AW22" s="35"/>
    </row>
    <row r="23" spans="1:49" x14ac:dyDescent="0.25">
      <c r="A23" s="1" t="s">
        <v>63</v>
      </c>
      <c r="B23" s="11" t="s">
        <v>36</v>
      </c>
      <c r="C23" s="12">
        <v>86</v>
      </c>
      <c r="D23" s="12">
        <v>180</v>
      </c>
      <c r="E23" s="13">
        <v>0.4777777777777778</v>
      </c>
      <c r="F23" s="14">
        <v>7</v>
      </c>
      <c r="G23" s="3"/>
      <c r="H23" s="9">
        <v>9</v>
      </c>
      <c r="I23" s="9">
        <v>10</v>
      </c>
      <c r="J23" s="9">
        <v>11</v>
      </c>
      <c r="K23" s="9">
        <v>8</v>
      </c>
      <c r="L23" s="9">
        <v>10</v>
      </c>
      <c r="M23" s="9">
        <v>11</v>
      </c>
      <c r="N23" s="9">
        <v>8</v>
      </c>
      <c r="O23" s="9">
        <v>11.5</v>
      </c>
      <c r="P23" s="9">
        <v>7.5</v>
      </c>
      <c r="AA23" s="10">
        <v>86</v>
      </c>
      <c r="AB23" s="3"/>
      <c r="AC23" s="9">
        <v>1</v>
      </c>
      <c r="AD23" s="9">
        <v>1</v>
      </c>
      <c r="AE23" s="9">
        <v>1</v>
      </c>
      <c r="AF23" s="9">
        <v>2</v>
      </c>
      <c r="AG23" s="9">
        <v>1</v>
      </c>
      <c r="AH23" s="9">
        <v>0</v>
      </c>
      <c r="AI23" s="9">
        <v>0</v>
      </c>
      <c r="AJ23" s="9">
        <v>1</v>
      </c>
      <c r="AK23" s="9">
        <v>0</v>
      </c>
      <c r="AV23" s="10">
        <v>7</v>
      </c>
      <c r="AW23" s="35"/>
    </row>
    <row r="24" spans="1:49" x14ac:dyDescent="0.25">
      <c r="A24" s="1" t="s">
        <v>63</v>
      </c>
      <c r="B24" s="11" t="s">
        <v>251</v>
      </c>
      <c r="C24" s="12">
        <v>85</v>
      </c>
      <c r="D24" s="12">
        <v>180</v>
      </c>
      <c r="E24" s="13">
        <v>0.47222222222222221</v>
      </c>
      <c r="F24" s="14">
        <v>9</v>
      </c>
      <c r="G24" s="3"/>
      <c r="H24" s="9">
        <v>12</v>
      </c>
      <c r="I24" s="9">
        <v>8</v>
      </c>
      <c r="J24" s="9">
        <v>10</v>
      </c>
      <c r="K24" s="9">
        <v>9</v>
      </c>
      <c r="L24" s="9">
        <v>9</v>
      </c>
      <c r="M24" s="9">
        <v>11</v>
      </c>
      <c r="N24" s="9">
        <v>8</v>
      </c>
      <c r="O24" s="9">
        <v>9.5</v>
      </c>
      <c r="P24" s="9">
        <v>8.5</v>
      </c>
      <c r="AA24" s="10">
        <v>85</v>
      </c>
      <c r="AB24" s="3"/>
      <c r="AC24" s="9">
        <v>1</v>
      </c>
      <c r="AD24" s="9">
        <v>1</v>
      </c>
      <c r="AE24" s="9">
        <v>1</v>
      </c>
      <c r="AF24" s="9">
        <v>0</v>
      </c>
      <c r="AG24" s="9">
        <v>0</v>
      </c>
      <c r="AH24" s="9">
        <v>2</v>
      </c>
      <c r="AI24" s="9">
        <v>2</v>
      </c>
      <c r="AJ24" s="9">
        <v>1</v>
      </c>
      <c r="AK24" s="9">
        <v>1</v>
      </c>
      <c r="AV24" s="10">
        <v>9</v>
      </c>
      <c r="AW24" s="35"/>
    </row>
    <row r="25" spans="1:49" x14ac:dyDescent="0.25">
      <c r="A25" s="1" t="s">
        <v>63</v>
      </c>
      <c r="B25" s="11" t="s">
        <v>56</v>
      </c>
      <c r="C25" s="12">
        <v>85</v>
      </c>
      <c r="D25" s="12">
        <v>180</v>
      </c>
      <c r="E25" s="13">
        <v>0.47222222222222221</v>
      </c>
      <c r="F25" s="14">
        <v>9</v>
      </c>
      <c r="G25" s="3"/>
      <c r="H25" s="9">
        <v>14</v>
      </c>
      <c r="I25" s="9">
        <v>11</v>
      </c>
      <c r="J25" s="9">
        <v>7</v>
      </c>
      <c r="K25" s="9">
        <v>7</v>
      </c>
      <c r="L25" s="9">
        <v>8</v>
      </c>
      <c r="M25" s="9">
        <v>11</v>
      </c>
      <c r="N25" s="9">
        <v>11</v>
      </c>
      <c r="O25" s="9">
        <v>8.5</v>
      </c>
      <c r="P25" s="9">
        <v>7.5</v>
      </c>
      <c r="AA25" s="10">
        <v>85</v>
      </c>
      <c r="AB25" s="3"/>
      <c r="AC25" s="9">
        <v>2</v>
      </c>
      <c r="AD25" s="9">
        <v>2</v>
      </c>
      <c r="AE25" s="9">
        <v>0</v>
      </c>
      <c r="AF25" s="9">
        <v>2</v>
      </c>
      <c r="AG25" s="9">
        <v>0</v>
      </c>
      <c r="AH25" s="9">
        <v>1</v>
      </c>
      <c r="AI25" s="9">
        <v>0</v>
      </c>
      <c r="AJ25" s="9">
        <v>1</v>
      </c>
      <c r="AK25" s="9">
        <v>1</v>
      </c>
      <c r="AV25" s="10">
        <v>9</v>
      </c>
      <c r="AW25" s="35"/>
    </row>
    <row r="26" spans="1:49" x14ac:dyDescent="0.25">
      <c r="A26" s="1" t="s">
        <v>63</v>
      </c>
      <c r="B26" s="11" t="s">
        <v>195</v>
      </c>
      <c r="C26" s="12">
        <v>85</v>
      </c>
      <c r="D26" s="12">
        <v>180</v>
      </c>
      <c r="E26" s="13">
        <v>0.47222222222222221</v>
      </c>
      <c r="F26" s="14">
        <v>8</v>
      </c>
      <c r="G26" s="3"/>
      <c r="H26" s="9">
        <v>11</v>
      </c>
      <c r="I26" s="9">
        <v>11</v>
      </c>
      <c r="J26" s="9">
        <v>7</v>
      </c>
      <c r="K26" s="9">
        <v>8</v>
      </c>
      <c r="L26" s="9">
        <v>9</v>
      </c>
      <c r="M26" s="9">
        <v>10</v>
      </c>
      <c r="N26" s="9">
        <v>9</v>
      </c>
      <c r="O26" s="9">
        <v>10.5</v>
      </c>
      <c r="P26" s="9">
        <v>9.5</v>
      </c>
      <c r="AA26" s="10">
        <v>85</v>
      </c>
      <c r="AB26" s="3"/>
      <c r="AC26" s="9">
        <v>2</v>
      </c>
      <c r="AD26" s="9">
        <v>1</v>
      </c>
      <c r="AE26" s="9">
        <v>0</v>
      </c>
      <c r="AF26" s="9">
        <v>1</v>
      </c>
      <c r="AG26" s="9">
        <v>0</v>
      </c>
      <c r="AH26" s="9">
        <v>1</v>
      </c>
      <c r="AI26" s="9">
        <v>0</v>
      </c>
      <c r="AJ26" s="9">
        <v>1</v>
      </c>
      <c r="AK26" s="9">
        <v>2</v>
      </c>
      <c r="AV26" s="10">
        <v>8</v>
      </c>
      <c r="AW26" s="35"/>
    </row>
    <row r="27" spans="1:49" x14ac:dyDescent="0.25">
      <c r="A27" s="1" t="s">
        <v>63</v>
      </c>
      <c r="B27" s="11" t="s">
        <v>270</v>
      </c>
      <c r="C27" s="12">
        <v>85</v>
      </c>
      <c r="D27" s="12">
        <v>180</v>
      </c>
      <c r="E27" s="13">
        <v>0.47222222222222221</v>
      </c>
      <c r="F27" s="14">
        <v>5</v>
      </c>
      <c r="G27" s="3"/>
      <c r="H27" s="9">
        <v>12</v>
      </c>
      <c r="I27" s="9">
        <v>10</v>
      </c>
      <c r="J27" s="9">
        <v>7</v>
      </c>
      <c r="K27" s="9">
        <v>8</v>
      </c>
      <c r="L27" s="224">
        <v>6</v>
      </c>
      <c r="M27" s="9">
        <v>10</v>
      </c>
      <c r="N27" s="9">
        <v>10</v>
      </c>
      <c r="O27" s="9">
        <v>10.5</v>
      </c>
      <c r="P27" s="9">
        <v>11.5</v>
      </c>
      <c r="AA27" s="10">
        <v>85</v>
      </c>
      <c r="AB27" s="3"/>
      <c r="AC27" s="9">
        <v>1</v>
      </c>
      <c r="AD27" s="9">
        <v>1</v>
      </c>
      <c r="AE27" s="9">
        <v>1</v>
      </c>
      <c r="AF27" s="9">
        <v>1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V27" s="10">
        <v>5</v>
      </c>
      <c r="AW27" s="35"/>
    </row>
    <row r="28" spans="1:49" x14ac:dyDescent="0.25">
      <c r="A28" s="1" t="s">
        <v>63</v>
      </c>
      <c r="B28" s="11" t="s">
        <v>239</v>
      </c>
      <c r="C28" s="12">
        <v>84</v>
      </c>
      <c r="D28" s="12">
        <v>180</v>
      </c>
      <c r="E28" s="13">
        <v>0.46666666666666667</v>
      </c>
      <c r="F28" s="14">
        <v>8.5</v>
      </c>
      <c r="G28" s="3"/>
      <c r="H28" s="9">
        <v>6</v>
      </c>
      <c r="I28" s="9">
        <v>6</v>
      </c>
      <c r="J28" s="9">
        <v>12</v>
      </c>
      <c r="K28" s="9">
        <v>11</v>
      </c>
      <c r="L28" s="9">
        <v>10</v>
      </c>
      <c r="M28" s="9">
        <v>14</v>
      </c>
      <c r="N28" s="9">
        <v>9</v>
      </c>
      <c r="O28" s="9">
        <v>9.5</v>
      </c>
      <c r="P28" s="9">
        <v>6.5</v>
      </c>
      <c r="AA28" s="10">
        <v>84</v>
      </c>
      <c r="AB28" s="3"/>
      <c r="AC28" s="9">
        <v>1</v>
      </c>
      <c r="AD28" s="9">
        <v>1</v>
      </c>
      <c r="AE28" s="9">
        <v>1</v>
      </c>
      <c r="AF28" s="9">
        <v>0.5</v>
      </c>
      <c r="AG28" s="9">
        <v>1</v>
      </c>
      <c r="AH28" s="9">
        <v>2</v>
      </c>
      <c r="AI28" s="9">
        <v>1</v>
      </c>
      <c r="AJ28" s="9">
        <v>1</v>
      </c>
      <c r="AK28" s="9">
        <v>0</v>
      </c>
      <c r="AV28" s="10">
        <v>8.5</v>
      </c>
      <c r="AW28" s="35"/>
    </row>
    <row r="29" spans="1:49" x14ac:dyDescent="0.25">
      <c r="A29" s="1" t="s">
        <v>63</v>
      </c>
      <c r="B29" s="11" t="s">
        <v>333</v>
      </c>
      <c r="C29" s="12">
        <v>84</v>
      </c>
      <c r="D29" s="12">
        <v>180</v>
      </c>
      <c r="E29" s="13">
        <v>0.46666666666666667</v>
      </c>
      <c r="F29" s="14">
        <v>7.5</v>
      </c>
      <c r="G29" s="3"/>
      <c r="H29" s="9">
        <v>12</v>
      </c>
      <c r="I29" s="9">
        <v>9</v>
      </c>
      <c r="J29" s="9">
        <v>10</v>
      </c>
      <c r="K29" s="9">
        <v>10</v>
      </c>
      <c r="L29" s="9">
        <v>9</v>
      </c>
      <c r="M29" s="9">
        <v>13</v>
      </c>
      <c r="N29" s="9">
        <v>10</v>
      </c>
      <c r="O29" s="224">
        <v>3.5</v>
      </c>
      <c r="P29" s="9">
        <v>7.5</v>
      </c>
      <c r="AA29" s="10">
        <v>84</v>
      </c>
      <c r="AB29" s="3"/>
      <c r="AC29" s="9">
        <v>1</v>
      </c>
      <c r="AD29" s="9">
        <v>0</v>
      </c>
      <c r="AE29" s="9">
        <v>1</v>
      </c>
      <c r="AF29" s="9">
        <v>1.5</v>
      </c>
      <c r="AG29" s="9">
        <v>1</v>
      </c>
      <c r="AH29" s="9">
        <v>2</v>
      </c>
      <c r="AI29" s="9">
        <v>0</v>
      </c>
      <c r="AJ29" s="9">
        <v>0</v>
      </c>
      <c r="AK29" s="9">
        <v>1</v>
      </c>
      <c r="AV29" s="10">
        <v>7.5</v>
      </c>
      <c r="AW29" s="35"/>
    </row>
    <row r="30" spans="1:49" x14ac:dyDescent="0.25">
      <c r="A30" s="1" t="s">
        <v>63</v>
      </c>
      <c r="B30" s="11" t="s">
        <v>48</v>
      </c>
      <c r="C30" s="12">
        <v>83</v>
      </c>
      <c r="D30" s="12">
        <v>180</v>
      </c>
      <c r="E30" s="13">
        <v>0.46111111111111114</v>
      </c>
      <c r="F30" s="14">
        <v>9</v>
      </c>
      <c r="G30" s="3"/>
      <c r="H30" s="9">
        <v>9</v>
      </c>
      <c r="I30" s="9">
        <v>11</v>
      </c>
      <c r="J30" s="9">
        <v>5</v>
      </c>
      <c r="K30" s="9">
        <v>8</v>
      </c>
      <c r="L30" s="9">
        <v>10</v>
      </c>
      <c r="M30" s="9">
        <v>12</v>
      </c>
      <c r="N30" s="9">
        <v>8</v>
      </c>
      <c r="O30" s="9">
        <v>10.5</v>
      </c>
      <c r="P30" s="9">
        <v>9.5</v>
      </c>
      <c r="AA30" s="10">
        <v>83</v>
      </c>
      <c r="AB30" s="3"/>
      <c r="AC30" s="9">
        <v>1</v>
      </c>
      <c r="AD30" s="9">
        <v>1</v>
      </c>
      <c r="AE30" s="9">
        <v>0</v>
      </c>
      <c r="AF30" s="9">
        <v>1</v>
      </c>
      <c r="AG30" s="9">
        <v>1</v>
      </c>
      <c r="AH30" s="9">
        <v>2</v>
      </c>
      <c r="AI30" s="9">
        <v>1</v>
      </c>
      <c r="AJ30" s="9">
        <v>2</v>
      </c>
      <c r="AK30" s="9">
        <v>0</v>
      </c>
      <c r="AV30" s="10">
        <v>9</v>
      </c>
      <c r="AW30" s="35"/>
    </row>
    <row r="31" spans="1:49" x14ac:dyDescent="0.25">
      <c r="A31" s="1" t="s">
        <v>63</v>
      </c>
      <c r="B31" s="11" t="s">
        <v>53</v>
      </c>
      <c r="C31" s="12">
        <v>83</v>
      </c>
      <c r="D31" s="12">
        <v>180</v>
      </c>
      <c r="E31" s="13">
        <v>0.46111111111111114</v>
      </c>
      <c r="F31" s="14">
        <v>8.5</v>
      </c>
      <c r="G31" s="3"/>
      <c r="H31" s="9">
        <v>11</v>
      </c>
      <c r="I31" s="9">
        <v>5</v>
      </c>
      <c r="J31" s="9">
        <v>8</v>
      </c>
      <c r="K31" s="9">
        <v>7</v>
      </c>
      <c r="L31" s="224">
        <v>6</v>
      </c>
      <c r="M31" s="9">
        <v>15</v>
      </c>
      <c r="N31" s="9">
        <v>14</v>
      </c>
      <c r="O31" s="9">
        <v>8.5</v>
      </c>
      <c r="P31" s="9">
        <v>8.5</v>
      </c>
      <c r="AA31" s="10">
        <v>83</v>
      </c>
      <c r="AB31" s="3"/>
      <c r="AC31" s="9">
        <v>1</v>
      </c>
      <c r="AD31" s="9">
        <v>1</v>
      </c>
      <c r="AE31" s="9">
        <v>0</v>
      </c>
      <c r="AF31" s="9">
        <v>1</v>
      </c>
      <c r="AG31" s="9">
        <v>0</v>
      </c>
      <c r="AH31" s="9">
        <v>2</v>
      </c>
      <c r="AI31" s="9">
        <v>2</v>
      </c>
      <c r="AJ31" s="9">
        <v>0</v>
      </c>
      <c r="AK31" s="9">
        <v>1.5</v>
      </c>
      <c r="AV31" s="10">
        <v>8.5</v>
      </c>
      <c r="AW31" s="35"/>
    </row>
    <row r="32" spans="1:49" x14ac:dyDescent="0.25">
      <c r="A32" s="1" t="s">
        <v>63</v>
      </c>
      <c r="B32" s="11" t="s">
        <v>39</v>
      </c>
      <c r="C32" s="12">
        <v>83</v>
      </c>
      <c r="D32" s="12">
        <v>180</v>
      </c>
      <c r="E32" s="13">
        <v>0.46111111111111114</v>
      </c>
      <c r="F32" s="14">
        <v>8</v>
      </c>
      <c r="G32" s="3"/>
      <c r="H32" s="9">
        <v>12</v>
      </c>
      <c r="I32" s="9">
        <v>6</v>
      </c>
      <c r="J32" s="9">
        <v>13</v>
      </c>
      <c r="K32" s="9">
        <v>7</v>
      </c>
      <c r="L32" s="9">
        <v>10</v>
      </c>
      <c r="M32" s="9">
        <v>12</v>
      </c>
      <c r="N32" s="9">
        <v>7</v>
      </c>
      <c r="O32" s="9">
        <v>8.5</v>
      </c>
      <c r="P32" s="9">
        <v>7.5</v>
      </c>
      <c r="AA32" s="10">
        <v>83</v>
      </c>
      <c r="AB32" s="3"/>
      <c r="AC32" s="9">
        <v>0</v>
      </c>
      <c r="AD32" s="9">
        <v>1</v>
      </c>
      <c r="AE32" s="9">
        <v>0</v>
      </c>
      <c r="AF32" s="9">
        <v>2</v>
      </c>
      <c r="AG32" s="9">
        <v>1</v>
      </c>
      <c r="AH32" s="9">
        <v>2</v>
      </c>
      <c r="AI32" s="9">
        <v>1</v>
      </c>
      <c r="AJ32" s="9">
        <v>1</v>
      </c>
      <c r="AK32" s="9">
        <v>0</v>
      </c>
      <c r="AV32" s="10">
        <v>8</v>
      </c>
      <c r="AW32" s="35"/>
    </row>
    <row r="33" spans="1:49" x14ac:dyDescent="0.25">
      <c r="A33" s="1" t="s">
        <v>63</v>
      </c>
      <c r="B33" s="11" t="s">
        <v>253</v>
      </c>
      <c r="C33" s="12">
        <v>82</v>
      </c>
      <c r="D33" s="12">
        <v>180</v>
      </c>
      <c r="E33" s="13">
        <v>0.45555555555555555</v>
      </c>
      <c r="F33" s="14">
        <v>11</v>
      </c>
      <c r="G33" s="3"/>
      <c r="H33" s="9">
        <v>8</v>
      </c>
      <c r="I33" s="9">
        <v>8</v>
      </c>
      <c r="J33" s="9">
        <v>7</v>
      </c>
      <c r="K33" s="9">
        <v>8</v>
      </c>
      <c r="L33" s="9">
        <v>13</v>
      </c>
      <c r="M33" s="9">
        <v>12</v>
      </c>
      <c r="N33" s="9">
        <v>9</v>
      </c>
      <c r="O33" s="9">
        <v>9.5</v>
      </c>
      <c r="P33" s="9">
        <v>7.5</v>
      </c>
      <c r="AA33" s="10">
        <v>82</v>
      </c>
      <c r="AB33" s="3"/>
      <c r="AC33" s="9">
        <v>0</v>
      </c>
      <c r="AD33" s="9">
        <v>2</v>
      </c>
      <c r="AE33" s="9">
        <v>1</v>
      </c>
      <c r="AF33" s="9">
        <v>1</v>
      </c>
      <c r="AG33" s="9">
        <v>1</v>
      </c>
      <c r="AH33" s="9">
        <v>2</v>
      </c>
      <c r="AI33" s="9">
        <v>2</v>
      </c>
      <c r="AJ33" s="9">
        <v>1</v>
      </c>
      <c r="AK33" s="9">
        <v>1</v>
      </c>
      <c r="AV33" s="10">
        <v>11</v>
      </c>
      <c r="AW33" s="35"/>
    </row>
    <row r="34" spans="1:49" x14ac:dyDescent="0.25">
      <c r="A34" s="1" t="s">
        <v>63</v>
      </c>
      <c r="B34" s="11" t="s">
        <v>60</v>
      </c>
      <c r="C34" s="12">
        <v>82</v>
      </c>
      <c r="D34" s="12">
        <v>180</v>
      </c>
      <c r="E34" s="13">
        <v>0.45555555555555555</v>
      </c>
      <c r="F34" s="14">
        <v>9.5</v>
      </c>
      <c r="G34" s="3"/>
      <c r="H34" s="9">
        <v>9</v>
      </c>
      <c r="I34" s="9">
        <v>9</v>
      </c>
      <c r="J34" s="9">
        <v>10</v>
      </c>
      <c r="K34" s="9">
        <v>7</v>
      </c>
      <c r="L34" s="9">
        <v>7</v>
      </c>
      <c r="M34" s="9">
        <v>9</v>
      </c>
      <c r="N34" s="9">
        <v>12</v>
      </c>
      <c r="O34" s="9">
        <v>8.5</v>
      </c>
      <c r="P34" s="9">
        <v>10.5</v>
      </c>
      <c r="AA34" s="10">
        <v>82</v>
      </c>
      <c r="AB34" s="3"/>
      <c r="AC34" s="9">
        <v>1</v>
      </c>
      <c r="AD34" s="9">
        <v>2</v>
      </c>
      <c r="AE34" s="9">
        <v>2</v>
      </c>
      <c r="AF34" s="9">
        <v>1</v>
      </c>
      <c r="AG34" s="9">
        <v>0</v>
      </c>
      <c r="AH34" s="9">
        <v>2</v>
      </c>
      <c r="AI34" s="9">
        <v>0</v>
      </c>
      <c r="AJ34" s="9">
        <v>0</v>
      </c>
      <c r="AK34" s="9">
        <v>1.5</v>
      </c>
      <c r="AV34" s="10">
        <v>9.5</v>
      </c>
      <c r="AW34" s="35"/>
    </row>
    <row r="35" spans="1:49" x14ac:dyDescent="0.25">
      <c r="A35" s="1" t="s">
        <v>63</v>
      </c>
      <c r="B35" s="11" t="s">
        <v>198</v>
      </c>
      <c r="C35" s="12">
        <v>82</v>
      </c>
      <c r="D35" s="12">
        <v>180</v>
      </c>
      <c r="E35" s="13">
        <v>0.45555555555555555</v>
      </c>
      <c r="F35" s="14">
        <v>8</v>
      </c>
      <c r="G35" s="3"/>
      <c r="H35" s="9">
        <v>11</v>
      </c>
      <c r="I35" s="9">
        <v>10</v>
      </c>
      <c r="J35" s="9">
        <v>7</v>
      </c>
      <c r="K35" s="9">
        <v>7</v>
      </c>
      <c r="L35" s="9">
        <v>10</v>
      </c>
      <c r="M35" s="9">
        <v>11</v>
      </c>
      <c r="N35" s="9">
        <v>8</v>
      </c>
      <c r="O35" s="9">
        <v>7.5</v>
      </c>
      <c r="P35" s="9">
        <v>10.5</v>
      </c>
      <c r="AA35" s="10">
        <v>82</v>
      </c>
      <c r="AB35" s="3"/>
      <c r="AC35" s="9">
        <v>2</v>
      </c>
      <c r="AD35" s="9">
        <v>1</v>
      </c>
      <c r="AE35" s="9">
        <v>0</v>
      </c>
      <c r="AF35" s="9">
        <v>0</v>
      </c>
      <c r="AG35" s="9">
        <v>1</v>
      </c>
      <c r="AH35" s="9">
        <v>0</v>
      </c>
      <c r="AI35" s="9">
        <v>1</v>
      </c>
      <c r="AJ35" s="9">
        <v>1</v>
      </c>
      <c r="AK35" s="9">
        <v>2</v>
      </c>
      <c r="AV35" s="10">
        <v>8</v>
      </c>
      <c r="AW35" s="35"/>
    </row>
    <row r="36" spans="1:49" x14ac:dyDescent="0.25">
      <c r="A36" s="1" t="s">
        <v>63</v>
      </c>
      <c r="B36" s="11" t="s">
        <v>52</v>
      </c>
      <c r="C36" s="12">
        <v>81</v>
      </c>
      <c r="D36" s="12">
        <v>180</v>
      </c>
      <c r="E36" s="13">
        <v>0.45</v>
      </c>
      <c r="F36" s="14">
        <v>10</v>
      </c>
      <c r="G36" s="3"/>
      <c r="H36" s="9">
        <v>8</v>
      </c>
      <c r="I36" s="9">
        <v>10</v>
      </c>
      <c r="J36" s="9">
        <v>8</v>
      </c>
      <c r="K36" s="9">
        <v>8</v>
      </c>
      <c r="L36" s="9">
        <v>9</v>
      </c>
      <c r="M36" s="9">
        <v>10</v>
      </c>
      <c r="N36" s="9">
        <v>7</v>
      </c>
      <c r="O36" s="9">
        <v>11.5</v>
      </c>
      <c r="P36" s="9">
        <v>9.5</v>
      </c>
      <c r="AA36" s="10">
        <v>81</v>
      </c>
      <c r="AB36" s="3"/>
      <c r="AC36" s="9">
        <v>1</v>
      </c>
      <c r="AD36" s="9">
        <v>2</v>
      </c>
      <c r="AE36" s="9">
        <v>1</v>
      </c>
      <c r="AF36" s="9">
        <v>1</v>
      </c>
      <c r="AG36" s="9">
        <v>2</v>
      </c>
      <c r="AH36" s="9">
        <v>2</v>
      </c>
      <c r="AI36" s="9">
        <v>0</v>
      </c>
      <c r="AJ36" s="9">
        <v>0</v>
      </c>
      <c r="AK36" s="9">
        <v>1</v>
      </c>
      <c r="AV36" s="10">
        <v>10</v>
      </c>
      <c r="AW36" s="35"/>
    </row>
    <row r="37" spans="1:49" x14ac:dyDescent="0.25">
      <c r="A37" s="1" t="s">
        <v>63</v>
      </c>
      <c r="B37" s="11" t="s">
        <v>59</v>
      </c>
      <c r="C37" s="12">
        <v>81</v>
      </c>
      <c r="D37" s="12">
        <v>180</v>
      </c>
      <c r="E37" s="13">
        <v>0.45</v>
      </c>
      <c r="F37" s="14">
        <v>9</v>
      </c>
      <c r="G37" s="3"/>
      <c r="H37" s="9">
        <v>7</v>
      </c>
      <c r="I37" s="9">
        <v>6</v>
      </c>
      <c r="J37" s="9">
        <v>9</v>
      </c>
      <c r="K37" s="9">
        <v>9</v>
      </c>
      <c r="L37" s="9">
        <v>8</v>
      </c>
      <c r="M37" s="9">
        <v>10</v>
      </c>
      <c r="N37" s="9">
        <v>10</v>
      </c>
      <c r="O37" s="9">
        <v>13.5</v>
      </c>
      <c r="P37" s="9">
        <v>8.5</v>
      </c>
      <c r="AA37" s="10">
        <v>81</v>
      </c>
      <c r="AB37" s="3"/>
      <c r="AC37" s="9">
        <v>0</v>
      </c>
      <c r="AD37" s="9">
        <v>1</v>
      </c>
      <c r="AE37" s="9">
        <v>2</v>
      </c>
      <c r="AF37" s="9">
        <v>1</v>
      </c>
      <c r="AG37" s="9">
        <v>1</v>
      </c>
      <c r="AH37" s="9">
        <v>0</v>
      </c>
      <c r="AI37" s="9">
        <v>2</v>
      </c>
      <c r="AJ37" s="9">
        <v>1</v>
      </c>
      <c r="AK37" s="9">
        <v>1</v>
      </c>
      <c r="AV37" s="10">
        <v>9</v>
      </c>
      <c r="AW37" s="35"/>
    </row>
    <row r="38" spans="1:49" x14ac:dyDescent="0.25">
      <c r="A38" s="1" t="s">
        <v>63</v>
      </c>
      <c r="B38" s="11" t="s">
        <v>224</v>
      </c>
      <c r="C38" s="12">
        <v>81</v>
      </c>
      <c r="D38" s="12">
        <v>180</v>
      </c>
      <c r="E38" s="13">
        <v>0.45</v>
      </c>
      <c r="F38" s="14">
        <v>9</v>
      </c>
      <c r="G38" s="3"/>
      <c r="H38" s="9">
        <v>8</v>
      </c>
      <c r="I38" s="9">
        <v>12</v>
      </c>
      <c r="J38" s="9">
        <v>9</v>
      </c>
      <c r="K38" s="9">
        <v>9</v>
      </c>
      <c r="L38" s="9">
        <v>9</v>
      </c>
      <c r="M38" s="9">
        <v>7</v>
      </c>
      <c r="N38" s="9">
        <v>12</v>
      </c>
      <c r="O38" s="9">
        <v>6.5</v>
      </c>
      <c r="P38" s="9">
        <v>8.5</v>
      </c>
      <c r="AA38" s="10">
        <v>81</v>
      </c>
      <c r="AB38" s="3"/>
      <c r="AC38" s="9">
        <v>2</v>
      </c>
      <c r="AD38" s="9">
        <v>2</v>
      </c>
      <c r="AE38" s="9">
        <v>1</v>
      </c>
      <c r="AF38" s="9">
        <v>1</v>
      </c>
      <c r="AG38" s="9">
        <v>0</v>
      </c>
      <c r="AH38" s="9">
        <v>2</v>
      </c>
      <c r="AI38" s="9">
        <v>0</v>
      </c>
      <c r="AJ38" s="9">
        <v>0</v>
      </c>
      <c r="AK38" s="9">
        <v>1</v>
      </c>
      <c r="AV38" s="10">
        <v>9</v>
      </c>
      <c r="AW38" s="35"/>
    </row>
    <row r="39" spans="1:49" x14ac:dyDescent="0.25">
      <c r="A39" s="1" t="s">
        <v>63</v>
      </c>
      <c r="B39" s="11" t="s">
        <v>40</v>
      </c>
      <c r="C39" s="12">
        <v>81</v>
      </c>
      <c r="D39" s="12">
        <v>180</v>
      </c>
      <c r="E39" s="13">
        <v>0.45</v>
      </c>
      <c r="F39" s="14">
        <v>7</v>
      </c>
      <c r="G39" s="3"/>
      <c r="H39" s="9">
        <v>7</v>
      </c>
      <c r="I39" s="9">
        <v>10</v>
      </c>
      <c r="J39" s="9">
        <v>10</v>
      </c>
      <c r="K39" s="9">
        <v>8</v>
      </c>
      <c r="L39" s="9">
        <v>7</v>
      </c>
      <c r="M39" s="9">
        <v>11</v>
      </c>
      <c r="N39" s="9">
        <v>9</v>
      </c>
      <c r="O39" s="9">
        <v>9.5</v>
      </c>
      <c r="P39" s="9">
        <v>9.5</v>
      </c>
      <c r="AA39" s="10">
        <v>81</v>
      </c>
      <c r="AB39" s="3"/>
      <c r="AC39" s="9">
        <v>1</v>
      </c>
      <c r="AD39" s="9">
        <v>1</v>
      </c>
      <c r="AE39" s="9">
        <v>0</v>
      </c>
      <c r="AF39" s="9">
        <v>0</v>
      </c>
      <c r="AG39" s="9">
        <v>2</v>
      </c>
      <c r="AH39" s="9">
        <v>0</v>
      </c>
      <c r="AI39" s="9">
        <v>0</v>
      </c>
      <c r="AJ39" s="9">
        <v>1</v>
      </c>
      <c r="AK39" s="9">
        <v>2</v>
      </c>
      <c r="AV39" s="10">
        <v>7</v>
      </c>
      <c r="AW39" s="35"/>
    </row>
    <row r="40" spans="1:49" x14ac:dyDescent="0.25">
      <c r="A40" s="1" t="s">
        <v>63</v>
      </c>
      <c r="B40" s="11" t="s">
        <v>61</v>
      </c>
      <c r="C40" s="12">
        <v>80</v>
      </c>
      <c r="D40" s="12">
        <v>180</v>
      </c>
      <c r="E40" s="13">
        <v>0.44444444444444442</v>
      </c>
      <c r="F40" s="14">
        <v>5</v>
      </c>
      <c r="G40" s="3"/>
      <c r="H40" s="9">
        <v>9</v>
      </c>
      <c r="I40" s="9">
        <v>10</v>
      </c>
      <c r="J40" s="9">
        <v>11</v>
      </c>
      <c r="K40" s="9">
        <v>7</v>
      </c>
      <c r="L40" s="9">
        <v>9</v>
      </c>
      <c r="M40" s="9">
        <v>12</v>
      </c>
      <c r="N40" s="9">
        <v>10</v>
      </c>
      <c r="O40" s="9">
        <v>4.5</v>
      </c>
      <c r="P40" s="9">
        <v>7.5</v>
      </c>
      <c r="AA40" s="10">
        <v>80</v>
      </c>
      <c r="AB40" s="3"/>
      <c r="AC40" s="9">
        <v>1</v>
      </c>
      <c r="AD40" s="9">
        <v>1</v>
      </c>
      <c r="AE40" s="9">
        <v>0</v>
      </c>
      <c r="AF40" s="9">
        <v>0</v>
      </c>
      <c r="AG40" s="9">
        <v>1</v>
      </c>
      <c r="AH40" s="9">
        <v>1</v>
      </c>
      <c r="AI40" s="9">
        <v>0</v>
      </c>
      <c r="AJ40" s="9">
        <v>1</v>
      </c>
      <c r="AK40" s="9">
        <v>0</v>
      </c>
      <c r="AV40" s="10">
        <v>5</v>
      </c>
      <c r="AW40" s="35"/>
    </row>
    <row r="41" spans="1:49" x14ac:dyDescent="0.25">
      <c r="A41" s="1" t="s">
        <v>63</v>
      </c>
      <c r="B41" s="11" t="s">
        <v>214</v>
      </c>
      <c r="C41" s="12">
        <v>73</v>
      </c>
      <c r="D41" s="12">
        <v>160</v>
      </c>
      <c r="E41" s="13">
        <v>0.45624999999999999</v>
      </c>
      <c r="F41" s="14">
        <v>5</v>
      </c>
      <c r="G41" s="3"/>
      <c r="H41" s="15" t="s">
        <v>63</v>
      </c>
      <c r="I41" s="9">
        <v>11</v>
      </c>
      <c r="J41" s="9">
        <v>6</v>
      </c>
      <c r="K41" s="9">
        <v>10</v>
      </c>
      <c r="L41" s="9">
        <v>9</v>
      </c>
      <c r="M41" s="9">
        <v>11</v>
      </c>
      <c r="N41" s="9">
        <v>8</v>
      </c>
      <c r="O41" s="9">
        <v>10.5</v>
      </c>
      <c r="P41" s="9">
        <v>7.5</v>
      </c>
      <c r="AA41" s="10">
        <v>73</v>
      </c>
      <c r="AB41" s="3"/>
      <c r="AC41" s="15" t="s">
        <v>63</v>
      </c>
      <c r="AD41" s="9">
        <v>0</v>
      </c>
      <c r="AE41" s="9">
        <v>0</v>
      </c>
      <c r="AF41" s="9">
        <v>0</v>
      </c>
      <c r="AG41" s="9">
        <v>1</v>
      </c>
      <c r="AH41" s="9">
        <v>2</v>
      </c>
      <c r="AI41" s="9">
        <v>1</v>
      </c>
      <c r="AJ41" s="9">
        <v>1</v>
      </c>
      <c r="AK41" s="9">
        <v>0</v>
      </c>
      <c r="AV41" s="10">
        <v>5</v>
      </c>
      <c r="AW41" s="35"/>
    </row>
    <row r="42" spans="1:49" x14ac:dyDescent="0.25">
      <c r="A42" s="1" t="s">
        <v>63</v>
      </c>
      <c r="B42" s="11" t="s">
        <v>344</v>
      </c>
      <c r="C42" s="12">
        <v>49</v>
      </c>
      <c r="D42" s="12">
        <v>140</v>
      </c>
      <c r="E42" s="13">
        <v>0.35</v>
      </c>
      <c r="F42" s="14">
        <v>2</v>
      </c>
      <c r="G42" s="3"/>
      <c r="H42" s="15" t="s">
        <v>63</v>
      </c>
      <c r="I42" s="15" t="s">
        <v>63</v>
      </c>
      <c r="J42" s="9">
        <v>6</v>
      </c>
      <c r="K42" s="9">
        <v>9</v>
      </c>
      <c r="L42" s="224">
        <v>6</v>
      </c>
      <c r="M42" s="9">
        <v>8</v>
      </c>
      <c r="N42" s="9">
        <v>13</v>
      </c>
      <c r="O42" s="224">
        <v>3.5</v>
      </c>
      <c r="P42" s="224">
        <v>3.5</v>
      </c>
      <c r="AA42" s="10">
        <v>49</v>
      </c>
      <c r="AB42" s="3"/>
      <c r="AC42" s="15" t="s">
        <v>63</v>
      </c>
      <c r="AD42" s="15" t="s">
        <v>63</v>
      </c>
      <c r="AE42" s="9">
        <v>0</v>
      </c>
      <c r="AF42" s="9">
        <v>0</v>
      </c>
      <c r="AG42" s="9">
        <v>0</v>
      </c>
      <c r="AH42" s="9">
        <v>1</v>
      </c>
      <c r="AI42" s="9">
        <v>1</v>
      </c>
      <c r="AJ42" s="9">
        <v>0</v>
      </c>
      <c r="AK42" s="9">
        <v>0</v>
      </c>
      <c r="AV42" s="10">
        <v>2</v>
      </c>
      <c r="AW42" s="35"/>
    </row>
    <row r="43" spans="1:49" x14ac:dyDescent="0.25">
      <c r="A43" s="1" t="s">
        <v>63</v>
      </c>
      <c r="B43" s="11" t="s">
        <v>238</v>
      </c>
      <c r="C43" s="12">
        <v>40.5</v>
      </c>
      <c r="D43" s="12">
        <v>140</v>
      </c>
      <c r="E43" s="13">
        <v>0.28928571428571431</v>
      </c>
      <c r="F43" s="14">
        <v>2</v>
      </c>
      <c r="G43" s="3"/>
      <c r="H43" s="15" t="s">
        <v>63</v>
      </c>
      <c r="I43" s="9">
        <v>9</v>
      </c>
      <c r="J43" s="9">
        <v>6</v>
      </c>
      <c r="K43" s="9">
        <v>6</v>
      </c>
      <c r="L43" s="224">
        <v>6</v>
      </c>
      <c r="M43" s="224">
        <v>5</v>
      </c>
      <c r="N43" s="224">
        <v>5</v>
      </c>
      <c r="O43" s="224">
        <v>3.5</v>
      </c>
      <c r="P43" s="15" t="s">
        <v>63</v>
      </c>
      <c r="AA43" s="10">
        <v>40.5</v>
      </c>
      <c r="AB43" s="3"/>
      <c r="AC43" s="15" t="s">
        <v>63</v>
      </c>
      <c r="AD43" s="9">
        <v>0</v>
      </c>
      <c r="AE43" s="9">
        <v>1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15" t="s">
        <v>63</v>
      </c>
      <c r="AV43" s="10">
        <v>2</v>
      </c>
      <c r="AW43" s="35"/>
    </row>
    <row r="44" spans="1:49" x14ac:dyDescent="0.25">
      <c r="A44" s="1" t="s">
        <v>63</v>
      </c>
      <c r="B44" s="11" t="s">
        <v>377</v>
      </c>
      <c r="C44" s="12">
        <v>0</v>
      </c>
      <c r="D44" s="12">
        <v>160</v>
      </c>
      <c r="E44" s="13">
        <v>0</v>
      </c>
      <c r="F44" s="14">
        <v>0</v>
      </c>
      <c r="G44" s="3"/>
      <c r="H44" s="15" t="s">
        <v>63</v>
      </c>
      <c r="I44" s="15" t="s">
        <v>63</v>
      </c>
      <c r="J44" s="15" t="s">
        <v>63</v>
      </c>
      <c r="K44" s="15" t="s">
        <v>63</v>
      </c>
      <c r="L44" s="15" t="s">
        <v>63</v>
      </c>
      <c r="M44" s="15" t="s">
        <v>63</v>
      </c>
      <c r="N44" s="15" t="s">
        <v>63</v>
      </c>
      <c r="O44" s="15" t="s">
        <v>63</v>
      </c>
      <c r="P44" s="15" t="s">
        <v>63</v>
      </c>
      <c r="AA44" s="10">
        <v>0</v>
      </c>
      <c r="AB44" s="3"/>
      <c r="AC44" s="15" t="s">
        <v>63</v>
      </c>
      <c r="AD44" s="15" t="s">
        <v>63</v>
      </c>
      <c r="AE44" s="15" t="s">
        <v>63</v>
      </c>
      <c r="AF44" s="15" t="s">
        <v>63</v>
      </c>
      <c r="AG44" s="15" t="s">
        <v>63</v>
      </c>
      <c r="AH44" s="15" t="s">
        <v>63</v>
      </c>
      <c r="AI44" s="15" t="s">
        <v>63</v>
      </c>
      <c r="AJ44" s="15" t="s">
        <v>63</v>
      </c>
      <c r="AK44" s="15" t="s">
        <v>63</v>
      </c>
      <c r="AV44" s="10">
        <v>0</v>
      </c>
      <c r="AW44" s="35"/>
    </row>
    <row r="45" spans="1:49" x14ac:dyDescent="0.25">
      <c r="A45" s="1" t="s">
        <v>63</v>
      </c>
      <c r="B45" s="11" t="s">
        <v>378</v>
      </c>
      <c r="C45" s="12">
        <v>0</v>
      </c>
      <c r="D45" s="12">
        <v>160</v>
      </c>
      <c r="E45" s="13">
        <v>0</v>
      </c>
      <c r="F45" s="14">
        <v>0</v>
      </c>
      <c r="G45" s="3"/>
      <c r="H45" s="15" t="s">
        <v>63</v>
      </c>
      <c r="I45" s="15" t="s">
        <v>63</v>
      </c>
      <c r="J45" s="15" t="s">
        <v>63</v>
      </c>
      <c r="K45" s="15" t="s">
        <v>63</v>
      </c>
      <c r="L45" s="15" t="s">
        <v>63</v>
      </c>
      <c r="M45" s="15" t="s">
        <v>63</v>
      </c>
      <c r="N45" s="15" t="s">
        <v>63</v>
      </c>
      <c r="O45" s="15" t="s">
        <v>63</v>
      </c>
      <c r="P45" s="15" t="s">
        <v>63</v>
      </c>
      <c r="AA45" s="10">
        <v>0</v>
      </c>
      <c r="AB45" s="3"/>
      <c r="AC45" s="15" t="s">
        <v>63</v>
      </c>
      <c r="AD45" s="15" t="s">
        <v>63</v>
      </c>
      <c r="AE45" s="15" t="s">
        <v>63</v>
      </c>
      <c r="AF45" s="15" t="s">
        <v>63</v>
      </c>
      <c r="AG45" s="15" t="s">
        <v>63</v>
      </c>
      <c r="AH45" s="15" t="s">
        <v>63</v>
      </c>
      <c r="AI45" s="15" t="s">
        <v>63</v>
      </c>
      <c r="AJ45" s="15" t="s">
        <v>63</v>
      </c>
      <c r="AK45" s="15" t="s">
        <v>63</v>
      </c>
      <c r="AV45" s="10">
        <v>0</v>
      </c>
      <c r="AW45" s="35"/>
    </row>
    <row r="46" spans="1:49" x14ac:dyDescent="0.25">
      <c r="A46" s="1" t="s">
        <v>63</v>
      </c>
      <c r="B46" s="11" t="s">
        <v>379</v>
      </c>
      <c r="C46" s="12">
        <v>0</v>
      </c>
      <c r="D46" s="12">
        <v>160</v>
      </c>
      <c r="E46" s="13">
        <v>0</v>
      </c>
      <c r="F46" s="14">
        <v>0</v>
      </c>
      <c r="G46" s="3"/>
      <c r="H46" s="15" t="s">
        <v>63</v>
      </c>
      <c r="I46" s="15" t="s">
        <v>63</v>
      </c>
      <c r="J46" s="15" t="s">
        <v>63</v>
      </c>
      <c r="K46" s="15" t="s">
        <v>63</v>
      </c>
      <c r="L46" s="15" t="s">
        <v>63</v>
      </c>
      <c r="M46" s="15" t="s">
        <v>63</v>
      </c>
      <c r="N46" s="15" t="s">
        <v>63</v>
      </c>
      <c r="O46" s="15" t="s">
        <v>63</v>
      </c>
      <c r="P46" s="15" t="s">
        <v>63</v>
      </c>
      <c r="AA46" s="10">
        <v>0</v>
      </c>
      <c r="AB46" s="3"/>
      <c r="AC46" s="15" t="s">
        <v>63</v>
      </c>
      <c r="AD46" s="15" t="s">
        <v>63</v>
      </c>
      <c r="AE46" s="15" t="s">
        <v>63</v>
      </c>
      <c r="AF46" s="15" t="s">
        <v>63</v>
      </c>
      <c r="AG46" s="15" t="s">
        <v>63</v>
      </c>
      <c r="AH46" s="15" t="s">
        <v>63</v>
      </c>
      <c r="AI46" s="15" t="s">
        <v>63</v>
      </c>
      <c r="AJ46" s="15" t="s">
        <v>63</v>
      </c>
      <c r="AK46" s="15" t="s">
        <v>63</v>
      </c>
      <c r="AV46" s="10">
        <v>0</v>
      </c>
      <c r="AW46" s="35"/>
    </row>
    <row r="47" spans="1:49" x14ac:dyDescent="0.25">
      <c r="A47" s="1" t="s">
        <v>63</v>
      </c>
      <c r="B47" s="11" t="s">
        <v>380</v>
      </c>
      <c r="C47" s="12">
        <v>0</v>
      </c>
      <c r="D47" s="12">
        <v>160</v>
      </c>
      <c r="E47" s="13">
        <v>0</v>
      </c>
      <c r="F47" s="14">
        <v>0</v>
      </c>
      <c r="G47" s="3"/>
      <c r="H47" s="15" t="s">
        <v>63</v>
      </c>
      <c r="I47" s="15" t="s">
        <v>63</v>
      </c>
      <c r="J47" s="15" t="s">
        <v>63</v>
      </c>
      <c r="K47" s="15" t="s">
        <v>63</v>
      </c>
      <c r="L47" s="15" t="s">
        <v>63</v>
      </c>
      <c r="M47" s="15" t="s">
        <v>63</v>
      </c>
      <c r="N47" s="15" t="s">
        <v>63</v>
      </c>
      <c r="O47" s="15" t="s">
        <v>63</v>
      </c>
      <c r="P47" s="15" t="s">
        <v>63</v>
      </c>
      <c r="AA47" s="10">
        <v>0</v>
      </c>
      <c r="AB47" s="3"/>
      <c r="AC47" s="15" t="s">
        <v>63</v>
      </c>
      <c r="AD47" s="15" t="s">
        <v>63</v>
      </c>
      <c r="AE47" s="15" t="s">
        <v>63</v>
      </c>
      <c r="AF47" s="15" t="s">
        <v>63</v>
      </c>
      <c r="AG47" s="15" t="s">
        <v>63</v>
      </c>
      <c r="AH47" s="15" t="s">
        <v>63</v>
      </c>
      <c r="AI47" s="15" t="s">
        <v>63</v>
      </c>
      <c r="AJ47" s="15" t="s">
        <v>63</v>
      </c>
      <c r="AK47" s="15" t="s">
        <v>63</v>
      </c>
      <c r="AV47" s="10">
        <v>0</v>
      </c>
      <c r="AW47" s="35"/>
    </row>
    <row r="48" spans="1:49" x14ac:dyDescent="0.25">
      <c r="A48" s="1" t="s">
        <v>63</v>
      </c>
      <c r="B48" s="11" t="s">
        <v>381</v>
      </c>
      <c r="C48" s="12">
        <v>0</v>
      </c>
      <c r="D48" s="12">
        <v>160</v>
      </c>
      <c r="E48" s="13">
        <v>0</v>
      </c>
      <c r="F48" s="14">
        <v>0</v>
      </c>
      <c r="G48" s="3"/>
      <c r="H48" s="15" t="s">
        <v>63</v>
      </c>
      <c r="I48" s="15" t="s">
        <v>63</v>
      </c>
      <c r="J48" s="15" t="s">
        <v>63</v>
      </c>
      <c r="K48" s="15" t="s">
        <v>63</v>
      </c>
      <c r="L48" s="15" t="s">
        <v>63</v>
      </c>
      <c r="M48" s="15" t="s">
        <v>63</v>
      </c>
      <c r="N48" s="15" t="s">
        <v>63</v>
      </c>
      <c r="O48" s="15" t="s">
        <v>63</v>
      </c>
      <c r="P48" s="15" t="s">
        <v>63</v>
      </c>
      <c r="AA48" s="10">
        <v>0</v>
      </c>
      <c r="AB48" s="3"/>
      <c r="AC48" s="15" t="s">
        <v>63</v>
      </c>
      <c r="AD48" s="15" t="s">
        <v>63</v>
      </c>
      <c r="AE48" s="15" t="s">
        <v>63</v>
      </c>
      <c r="AF48" s="15" t="s">
        <v>63</v>
      </c>
      <c r="AG48" s="15" t="s">
        <v>63</v>
      </c>
      <c r="AH48" s="15" t="s">
        <v>63</v>
      </c>
      <c r="AI48" s="15" t="s">
        <v>63</v>
      </c>
      <c r="AJ48" s="15" t="s">
        <v>63</v>
      </c>
      <c r="AK48" s="15" t="s">
        <v>63</v>
      </c>
      <c r="AV48" s="10">
        <v>0</v>
      </c>
      <c r="AW48" s="35"/>
    </row>
    <row r="49" spans="1:49" x14ac:dyDescent="0.25">
      <c r="A49" s="1" t="s">
        <v>63</v>
      </c>
      <c r="B49" s="11" t="s">
        <v>382</v>
      </c>
      <c r="C49" s="12">
        <v>0</v>
      </c>
      <c r="D49" s="12">
        <v>160</v>
      </c>
      <c r="E49" s="13">
        <v>0</v>
      </c>
      <c r="F49" s="14">
        <v>0</v>
      </c>
      <c r="G49" s="3"/>
      <c r="H49" s="15" t="s">
        <v>63</v>
      </c>
      <c r="I49" s="15" t="s">
        <v>63</v>
      </c>
      <c r="J49" s="15" t="s">
        <v>63</v>
      </c>
      <c r="K49" s="15" t="s">
        <v>63</v>
      </c>
      <c r="L49" s="15" t="s">
        <v>63</v>
      </c>
      <c r="M49" s="15" t="s">
        <v>63</v>
      </c>
      <c r="N49" s="15" t="s">
        <v>63</v>
      </c>
      <c r="O49" s="15" t="s">
        <v>63</v>
      </c>
      <c r="P49" s="15" t="s">
        <v>63</v>
      </c>
      <c r="AA49" s="10">
        <v>0</v>
      </c>
      <c r="AB49" s="3"/>
      <c r="AC49" s="15" t="s">
        <v>63</v>
      </c>
      <c r="AD49" s="15" t="s">
        <v>63</v>
      </c>
      <c r="AE49" s="15" t="s">
        <v>63</v>
      </c>
      <c r="AF49" s="15" t="s">
        <v>63</v>
      </c>
      <c r="AG49" s="15" t="s">
        <v>63</v>
      </c>
      <c r="AH49" s="15" t="s">
        <v>63</v>
      </c>
      <c r="AI49" s="15" t="s">
        <v>63</v>
      </c>
      <c r="AJ49" s="15" t="s">
        <v>63</v>
      </c>
      <c r="AK49" s="15" t="s">
        <v>63</v>
      </c>
      <c r="AV49" s="10">
        <v>0</v>
      </c>
      <c r="AW49" s="35"/>
    </row>
    <row r="50" spans="1:49" x14ac:dyDescent="0.25">
      <c r="A50" s="1" t="s">
        <v>63</v>
      </c>
      <c r="B50" s="11" t="s">
        <v>383</v>
      </c>
      <c r="C50" s="12">
        <v>0</v>
      </c>
      <c r="D50" s="12">
        <v>160</v>
      </c>
      <c r="E50" s="13">
        <v>0</v>
      </c>
      <c r="F50" s="14">
        <v>0</v>
      </c>
      <c r="G50" s="3"/>
      <c r="H50" s="15" t="s">
        <v>63</v>
      </c>
      <c r="I50" s="15" t="s">
        <v>63</v>
      </c>
      <c r="J50" s="15" t="s">
        <v>63</v>
      </c>
      <c r="K50" s="15" t="s">
        <v>63</v>
      </c>
      <c r="L50" s="15" t="s">
        <v>63</v>
      </c>
      <c r="M50" s="15" t="s">
        <v>63</v>
      </c>
      <c r="N50" s="15" t="s">
        <v>63</v>
      </c>
      <c r="O50" s="15" t="s">
        <v>63</v>
      </c>
      <c r="P50" s="15" t="s">
        <v>63</v>
      </c>
      <c r="AA50" s="10">
        <v>0</v>
      </c>
      <c r="AB50" s="3"/>
      <c r="AC50" s="15" t="s">
        <v>63</v>
      </c>
      <c r="AD50" s="15" t="s">
        <v>63</v>
      </c>
      <c r="AE50" s="15" t="s">
        <v>63</v>
      </c>
      <c r="AF50" s="15" t="s">
        <v>63</v>
      </c>
      <c r="AG50" s="15" t="s">
        <v>63</v>
      </c>
      <c r="AH50" s="15" t="s">
        <v>63</v>
      </c>
      <c r="AI50" s="15" t="s">
        <v>63</v>
      </c>
      <c r="AJ50" s="15" t="s">
        <v>63</v>
      </c>
      <c r="AK50" s="15" t="s">
        <v>63</v>
      </c>
      <c r="AV50" s="10">
        <v>0</v>
      </c>
      <c r="AW50" s="35"/>
    </row>
    <row r="51" spans="1:49" x14ac:dyDescent="0.25">
      <c r="A51" s="1" t="s">
        <v>63</v>
      </c>
      <c r="B51" s="11" t="s">
        <v>384</v>
      </c>
      <c r="C51" s="12">
        <v>0</v>
      </c>
      <c r="D51" s="12">
        <v>160</v>
      </c>
      <c r="E51" s="13">
        <v>0</v>
      </c>
      <c r="F51" s="14">
        <v>0</v>
      </c>
      <c r="G51" s="3"/>
      <c r="H51" s="15" t="s">
        <v>63</v>
      </c>
      <c r="I51" s="15" t="s">
        <v>63</v>
      </c>
      <c r="J51" s="15" t="s">
        <v>63</v>
      </c>
      <c r="K51" s="15" t="s">
        <v>63</v>
      </c>
      <c r="L51" s="15" t="s">
        <v>63</v>
      </c>
      <c r="M51" s="15" t="s">
        <v>63</v>
      </c>
      <c r="N51" s="15" t="s">
        <v>63</v>
      </c>
      <c r="O51" s="15" t="s">
        <v>63</v>
      </c>
      <c r="P51" s="15" t="s">
        <v>63</v>
      </c>
      <c r="AA51" s="10">
        <v>0</v>
      </c>
      <c r="AB51" s="3"/>
      <c r="AC51" s="15" t="s">
        <v>63</v>
      </c>
      <c r="AD51" s="15" t="s">
        <v>63</v>
      </c>
      <c r="AE51" s="15" t="s">
        <v>63</v>
      </c>
      <c r="AF51" s="15" t="s">
        <v>63</v>
      </c>
      <c r="AG51" s="15" t="s">
        <v>63</v>
      </c>
      <c r="AH51" s="15" t="s">
        <v>63</v>
      </c>
      <c r="AI51" s="15" t="s">
        <v>63</v>
      </c>
      <c r="AJ51" s="15" t="s">
        <v>63</v>
      </c>
      <c r="AK51" s="15" t="s">
        <v>63</v>
      </c>
      <c r="AV51" s="10">
        <v>0</v>
      </c>
      <c r="AW51" s="35"/>
    </row>
    <row r="52" spans="1:49" x14ac:dyDescent="0.25">
      <c r="A52" s="1"/>
      <c r="B52" s="16"/>
      <c r="C52" s="17"/>
      <c r="D52" s="17"/>
      <c r="E52" s="18"/>
      <c r="F52" s="19"/>
      <c r="G52" s="3"/>
      <c r="H52" s="15" t="s">
        <v>63</v>
      </c>
      <c r="I52" s="15" t="s">
        <v>63</v>
      </c>
      <c r="J52" s="15" t="s">
        <v>63</v>
      </c>
      <c r="K52" s="15" t="s">
        <v>63</v>
      </c>
      <c r="L52" s="15" t="s">
        <v>63</v>
      </c>
      <c r="M52" s="15" t="s">
        <v>63</v>
      </c>
      <c r="N52" s="15" t="s">
        <v>63</v>
      </c>
      <c r="O52" s="15" t="s">
        <v>63</v>
      </c>
      <c r="P52" s="15" t="s">
        <v>63</v>
      </c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88"/>
      <c r="AB52" s="3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88"/>
      <c r="AW52" s="35"/>
    </row>
    <row r="53" spans="1:49" ht="15.75" thickBot="1" x14ac:dyDescent="0.3">
      <c r="A53" s="1"/>
      <c r="B53" s="20" t="s">
        <v>106</v>
      </c>
      <c r="C53" s="21">
        <v>86.5</v>
      </c>
      <c r="D53" s="21">
        <v>180</v>
      </c>
      <c r="E53" s="22">
        <v>0.48055555555555557</v>
      </c>
      <c r="F53" s="23">
        <v>6</v>
      </c>
      <c r="G53" s="3"/>
      <c r="H53" s="9">
        <v>11.5</v>
      </c>
      <c r="I53" s="9">
        <v>11</v>
      </c>
      <c r="J53" s="9">
        <v>6</v>
      </c>
      <c r="K53" s="9">
        <v>9</v>
      </c>
      <c r="L53" s="9">
        <v>9</v>
      </c>
      <c r="M53" s="9">
        <v>11</v>
      </c>
      <c r="N53" s="9">
        <v>9</v>
      </c>
      <c r="O53" s="9">
        <v>10.5</v>
      </c>
      <c r="P53" s="9">
        <v>9.5</v>
      </c>
      <c r="AA53" s="10">
        <v>86.5</v>
      </c>
      <c r="AB53" s="3"/>
      <c r="AC53" s="9">
        <v>1</v>
      </c>
      <c r="AD53" s="9">
        <v>1</v>
      </c>
      <c r="AE53" s="9">
        <v>0</v>
      </c>
      <c r="AF53" s="9">
        <v>1.5</v>
      </c>
      <c r="AG53" s="9">
        <v>1</v>
      </c>
      <c r="AH53" s="9">
        <v>0</v>
      </c>
      <c r="AI53" s="9">
        <v>0</v>
      </c>
      <c r="AJ53" s="9">
        <v>1</v>
      </c>
      <c r="AK53" s="9">
        <v>0.5</v>
      </c>
      <c r="AV53" s="10">
        <v>6</v>
      </c>
      <c r="AW53" s="35"/>
    </row>
    <row r="54" spans="1:49" x14ac:dyDescent="0.25">
      <c r="A54" s="1"/>
      <c r="B54" s="35"/>
      <c r="C54" s="3"/>
      <c r="D54" s="3"/>
      <c r="E54" s="3"/>
      <c r="F54" s="189" t="s">
        <v>334</v>
      </c>
      <c r="G54" s="3"/>
      <c r="H54" s="114">
        <v>20</v>
      </c>
      <c r="I54" s="114">
        <v>20</v>
      </c>
      <c r="J54" s="114">
        <v>20</v>
      </c>
      <c r="K54" s="114">
        <v>20</v>
      </c>
      <c r="L54" s="114">
        <v>20</v>
      </c>
      <c r="M54" s="114">
        <v>20</v>
      </c>
      <c r="N54" s="114">
        <v>20</v>
      </c>
      <c r="O54" s="114">
        <v>20</v>
      </c>
      <c r="P54" s="114">
        <v>20</v>
      </c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90">
        <v>180</v>
      </c>
      <c r="AB54" s="3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197"/>
      <c r="AW54" s="35"/>
    </row>
    <row r="55" spans="1:49" ht="19.5" thickBot="1" x14ac:dyDescent="0.35">
      <c r="A55" s="1"/>
      <c r="B55" s="2" t="s">
        <v>342</v>
      </c>
      <c r="C55" s="3"/>
      <c r="D55" s="3"/>
      <c r="E55" s="3"/>
      <c r="F55" s="3"/>
      <c r="G55" s="3"/>
      <c r="Q55" s="9">
        <v>20</v>
      </c>
      <c r="R55" s="9">
        <v>20</v>
      </c>
      <c r="S55" s="9">
        <v>20</v>
      </c>
      <c r="T55" s="9">
        <v>20</v>
      </c>
      <c r="U55" s="9">
        <v>20</v>
      </c>
      <c r="V55" s="9">
        <v>20</v>
      </c>
      <c r="W55" s="9">
        <v>20</v>
      </c>
      <c r="X55" s="9">
        <v>20</v>
      </c>
      <c r="Y55" s="9">
        <v>20</v>
      </c>
      <c r="Z55" s="9">
        <v>20</v>
      </c>
      <c r="AA55" s="10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64"/>
      <c r="AW55" s="35"/>
    </row>
    <row r="56" spans="1:49" x14ac:dyDescent="0.25">
      <c r="A56" s="1">
        <v>1</v>
      </c>
      <c r="B56" s="110" t="s">
        <v>214</v>
      </c>
      <c r="C56" s="99">
        <v>0.45624999999999999</v>
      </c>
      <c r="D56" s="100">
        <v>73</v>
      </c>
      <c r="E56" s="100">
        <v>160</v>
      </c>
      <c r="F56" s="101">
        <v>5</v>
      </c>
    </row>
    <row r="57" spans="1:49" x14ac:dyDescent="0.25">
      <c r="A57" s="1">
        <v>2</v>
      </c>
      <c r="B57" s="11" t="s">
        <v>344</v>
      </c>
      <c r="C57" s="13">
        <v>0.35</v>
      </c>
      <c r="D57" s="12">
        <v>49</v>
      </c>
      <c r="E57" s="12">
        <v>140</v>
      </c>
      <c r="F57" s="14">
        <v>2</v>
      </c>
    </row>
    <row r="58" spans="1:49" ht="15.75" thickBot="1" x14ac:dyDescent="0.3">
      <c r="A58">
        <v>3</v>
      </c>
      <c r="B58" s="20" t="s">
        <v>238</v>
      </c>
      <c r="C58" s="22">
        <v>0.28928571428571431</v>
      </c>
      <c r="D58" s="21">
        <v>40.5</v>
      </c>
      <c r="E58" s="21">
        <v>140</v>
      </c>
      <c r="F58" s="23">
        <v>2</v>
      </c>
    </row>
    <row r="60" spans="1:49" x14ac:dyDescent="0.25">
      <c r="A60" s="1"/>
      <c r="B60" s="25" t="s">
        <v>64</v>
      </c>
      <c r="C60" s="12">
        <v>86</v>
      </c>
      <c r="D60" s="12">
        <v>180</v>
      </c>
      <c r="E60" s="13">
        <v>0.4777777777777778</v>
      </c>
      <c r="F60" s="12" t="s">
        <v>63</v>
      </c>
      <c r="H60" s="9">
        <v>12</v>
      </c>
      <c r="I60" s="9">
        <v>11</v>
      </c>
      <c r="J60" s="9">
        <v>7</v>
      </c>
      <c r="K60" s="9">
        <v>10</v>
      </c>
      <c r="L60" s="9">
        <v>8</v>
      </c>
      <c r="M60" s="9">
        <v>7</v>
      </c>
      <c r="N60" s="9">
        <v>8</v>
      </c>
      <c r="O60" s="9">
        <v>12.5</v>
      </c>
      <c r="P60" s="9">
        <v>10.5</v>
      </c>
      <c r="AA60" s="9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48"/>
  <sheetViews>
    <sheetView workbookViewId="0">
      <selection activeCell="H1" sqref="H1"/>
    </sheetView>
  </sheetViews>
  <sheetFormatPr defaultColWidth="8.85546875" defaultRowHeight="15" x14ac:dyDescent="0.25"/>
  <cols>
    <col min="1" max="1" width="9.28515625" style="1" bestFit="1" customWidth="1"/>
    <col min="2" max="2" width="20.7109375" customWidth="1"/>
    <col min="3" max="3" width="7.42578125" style="9" bestFit="1" customWidth="1"/>
    <col min="4" max="4" width="5.42578125" style="9" bestFit="1" customWidth="1"/>
    <col min="5" max="5" width="7.140625" style="9" bestFit="1" customWidth="1"/>
    <col min="6" max="6" width="8.7109375" style="9" bestFit="1" customWidth="1"/>
    <col min="7" max="7" width="2.7109375" customWidth="1"/>
    <col min="8" max="10" width="3.5703125" bestFit="1" customWidth="1"/>
    <col min="11" max="11" width="5" bestFit="1" customWidth="1"/>
    <col min="12" max="16" width="3.5703125" bestFit="1" customWidth="1"/>
    <col min="17" max="20" width="4.5703125" bestFit="1" customWidth="1"/>
    <col min="21" max="21" width="5" bestFit="1" customWidth="1"/>
    <col min="22" max="22" width="4.5703125" bestFit="1" customWidth="1"/>
    <col min="23" max="23" width="6.28515625" bestFit="1" customWidth="1"/>
    <col min="24" max="24" width="6" style="4" bestFit="1" customWidth="1"/>
    <col min="25" max="25" width="2.7109375" customWidth="1"/>
    <col min="26" max="27" width="3" bestFit="1" customWidth="1"/>
    <col min="28" max="29" width="4" bestFit="1" customWidth="1"/>
    <col min="30" max="32" width="3" bestFit="1" customWidth="1"/>
    <col min="33" max="33" width="4" bestFit="1" customWidth="1"/>
    <col min="34" max="34" width="3" bestFit="1" customWidth="1"/>
    <col min="35" max="40" width="4" bestFit="1" customWidth="1"/>
    <col min="41" max="41" width="6.28515625" bestFit="1" customWidth="1"/>
    <col min="42" max="42" width="5.42578125" style="4" bestFit="1" customWidth="1"/>
  </cols>
  <sheetData>
    <row r="1" spans="1:42" ht="19.5" thickBot="1" x14ac:dyDescent="0.35">
      <c r="B1" s="2" t="s">
        <v>287</v>
      </c>
      <c r="C1" s="3"/>
      <c r="D1" s="3"/>
      <c r="E1" s="3"/>
      <c r="F1" s="3"/>
    </row>
    <row r="2" spans="1:42" s="9" customFormat="1" x14ac:dyDescent="0.25">
      <c r="A2" s="5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20</v>
      </c>
      <c r="X2" s="10" t="s">
        <v>2</v>
      </c>
      <c r="Z2" s="9" t="s">
        <v>21</v>
      </c>
      <c r="AA2" s="9" t="s">
        <v>22</v>
      </c>
      <c r="AB2" s="9" t="s">
        <v>23</v>
      </c>
      <c r="AC2" s="9" t="s">
        <v>24</v>
      </c>
      <c r="AD2" s="9" t="s">
        <v>25</v>
      </c>
      <c r="AE2" s="9" t="s">
        <v>26</v>
      </c>
      <c r="AF2" s="9" t="s">
        <v>27</v>
      </c>
      <c r="AG2" s="9" t="s">
        <v>28</v>
      </c>
      <c r="AH2" s="9" t="s">
        <v>29</v>
      </c>
      <c r="AI2" s="9" t="s">
        <v>30</v>
      </c>
      <c r="AJ2" s="9" t="s">
        <v>31</v>
      </c>
      <c r="AK2" s="9" t="s">
        <v>32</v>
      </c>
      <c r="AL2" s="9" t="s">
        <v>33</v>
      </c>
      <c r="AM2" s="9" t="s">
        <v>34</v>
      </c>
      <c r="AN2" s="9" t="s">
        <v>35</v>
      </c>
      <c r="AO2" s="9" t="s">
        <v>20</v>
      </c>
      <c r="AP2" s="10" t="s">
        <v>2</v>
      </c>
    </row>
    <row r="3" spans="1:42" x14ac:dyDescent="0.25">
      <c r="A3" s="1" t="s">
        <v>111</v>
      </c>
      <c r="B3" s="11" t="s">
        <v>239</v>
      </c>
      <c r="C3" s="12">
        <f t="shared" ref="C3:C40" si="0">X3</f>
        <v>154</v>
      </c>
      <c r="D3" s="12">
        <f t="shared" ref="D3:D39" si="1">$X$43</f>
        <v>285</v>
      </c>
      <c r="E3" s="13">
        <f t="shared" ref="E3:E40" si="2">C3/D3</f>
        <v>0.54035087719298247</v>
      </c>
      <c r="F3" s="14">
        <f t="shared" ref="F3:F40" si="3">AP3</f>
        <v>21</v>
      </c>
      <c r="H3">
        <v>10</v>
      </c>
      <c r="I3">
        <v>10</v>
      </c>
      <c r="J3">
        <v>8</v>
      </c>
      <c r="K3">
        <v>8.5</v>
      </c>
      <c r="L3">
        <v>7</v>
      </c>
      <c r="M3">
        <v>12</v>
      </c>
      <c r="N3">
        <v>11</v>
      </c>
      <c r="O3">
        <v>11</v>
      </c>
      <c r="P3">
        <v>7</v>
      </c>
      <c r="Q3">
        <v>7</v>
      </c>
      <c r="R3">
        <v>8</v>
      </c>
      <c r="S3">
        <v>12</v>
      </c>
      <c r="T3">
        <v>15</v>
      </c>
      <c r="U3">
        <v>12</v>
      </c>
      <c r="V3">
        <v>3</v>
      </c>
      <c r="W3">
        <v>12.5</v>
      </c>
      <c r="X3" s="4">
        <f t="shared" ref="X3:X40" si="4">SUM(H3:W3)</f>
        <v>154</v>
      </c>
      <c r="Z3">
        <v>2</v>
      </c>
      <c r="AA3">
        <v>1</v>
      </c>
      <c r="AB3">
        <v>1</v>
      </c>
      <c r="AC3">
        <v>1</v>
      </c>
      <c r="AD3">
        <v>1</v>
      </c>
      <c r="AE3">
        <v>2</v>
      </c>
      <c r="AF3">
        <v>1</v>
      </c>
      <c r="AG3">
        <v>1</v>
      </c>
      <c r="AH3">
        <v>0</v>
      </c>
      <c r="AI3">
        <v>1</v>
      </c>
      <c r="AJ3">
        <v>1</v>
      </c>
      <c r="AK3">
        <v>2</v>
      </c>
      <c r="AL3">
        <v>2</v>
      </c>
      <c r="AM3">
        <v>2</v>
      </c>
      <c r="AN3">
        <v>1</v>
      </c>
      <c r="AO3">
        <v>2</v>
      </c>
      <c r="AP3" s="4">
        <f t="shared" ref="AP3:AP40" si="5">SUM(Z3:AO3)</f>
        <v>21</v>
      </c>
    </row>
    <row r="4" spans="1:42" x14ac:dyDescent="0.25">
      <c r="A4" s="1" t="s">
        <v>112</v>
      </c>
      <c r="B4" s="11" t="s">
        <v>60</v>
      </c>
      <c r="C4" s="12">
        <f t="shared" si="0"/>
        <v>153</v>
      </c>
      <c r="D4" s="12">
        <f t="shared" si="1"/>
        <v>285</v>
      </c>
      <c r="E4" s="13">
        <f t="shared" si="2"/>
        <v>0.5368421052631579</v>
      </c>
      <c r="F4" s="14">
        <f t="shared" si="3"/>
        <v>14</v>
      </c>
      <c r="H4">
        <v>9</v>
      </c>
      <c r="I4">
        <v>9</v>
      </c>
      <c r="J4">
        <v>9</v>
      </c>
      <c r="K4">
        <v>12.5</v>
      </c>
      <c r="L4">
        <v>13</v>
      </c>
      <c r="M4">
        <v>11</v>
      </c>
      <c r="N4">
        <v>12</v>
      </c>
      <c r="O4">
        <v>10</v>
      </c>
      <c r="P4">
        <v>15</v>
      </c>
      <c r="Q4">
        <v>8</v>
      </c>
      <c r="R4">
        <v>7</v>
      </c>
      <c r="S4">
        <v>6</v>
      </c>
      <c r="T4">
        <v>7</v>
      </c>
      <c r="U4">
        <v>12</v>
      </c>
      <c r="V4">
        <v>4</v>
      </c>
      <c r="W4">
        <v>8.5</v>
      </c>
      <c r="X4" s="4">
        <f t="shared" si="4"/>
        <v>153</v>
      </c>
      <c r="Z4">
        <v>0</v>
      </c>
      <c r="AA4">
        <v>1</v>
      </c>
      <c r="AB4">
        <v>1</v>
      </c>
      <c r="AC4">
        <v>0</v>
      </c>
      <c r="AD4">
        <v>1</v>
      </c>
      <c r="AE4">
        <v>1</v>
      </c>
      <c r="AF4">
        <v>1</v>
      </c>
      <c r="AG4">
        <v>1</v>
      </c>
      <c r="AH4">
        <v>2</v>
      </c>
      <c r="AI4">
        <v>0</v>
      </c>
      <c r="AJ4">
        <v>1</v>
      </c>
      <c r="AK4">
        <v>0</v>
      </c>
      <c r="AL4">
        <v>1</v>
      </c>
      <c r="AM4">
        <v>2</v>
      </c>
      <c r="AN4">
        <v>1</v>
      </c>
      <c r="AO4">
        <v>1</v>
      </c>
      <c r="AP4" s="4">
        <f t="shared" si="5"/>
        <v>14</v>
      </c>
    </row>
    <row r="5" spans="1:42" x14ac:dyDescent="0.25">
      <c r="A5" s="1" t="s">
        <v>113</v>
      </c>
      <c r="B5" s="11" t="s">
        <v>240</v>
      </c>
      <c r="C5" s="12">
        <f t="shared" si="0"/>
        <v>150</v>
      </c>
      <c r="D5" s="12">
        <f t="shared" si="1"/>
        <v>285</v>
      </c>
      <c r="E5" s="13">
        <f t="shared" si="2"/>
        <v>0.52631578947368418</v>
      </c>
      <c r="F5" s="14">
        <f t="shared" si="3"/>
        <v>24</v>
      </c>
      <c r="H5">
        <v>11</v>
      </c>
      <c r="I5">
        <v>12</v>
      </c>
      <c r="J5">
        <v>11</v>
      </c>
      <c r="K5">
        <v>9.5</v>
      </c>
      <c r="L5">
        <v>12</v>
      </c>
      <c r="M5">
        <v>6</v>
      </c>
      <c r="N5">
        <v>9</v>
      </c>
      <c r="O5">
        <v>9</v>
      </c>
      <c r="P5">
        <v>10</v>
      </c>
      <c r="Q5">
        <v>9</v>
      </c>
      <c r="R5">
        <v>9</v>
      </c>
      <c r="S5">
        <v>9</v>
      </c>
      <c r="T5">
        <v>6</v>
      </c>
      <c r="U5">
        <v>9</v>
      </c>
      <c r="V5">
        <v>4</v>
      </c>
      <c r="W5">
        <v>14.5</v>
      </c>
      <c r="X5" s="4">
        <f t="shared" si="4"/>
        <v>150</v>
      </c>
      <c r="Z5">
        <v>2</v>
      </c>
      <c r="AA5">
        <v>2</v>
      </c>
      <c r="AB5">
        <v>2</v>
      </c>
      <c r="AC5">
        <v>0</v>
      </c>
      <c r="AD5">
        <v>2</v>
      </c>
      <c r="AE5">
        <v>2</v>
      </c>
      <c r="AF5">
        <v>1</v>
      </c>
      <c r="AG5">
        <v>1</v>
      </c>
      <c r="AH5">
        <v>1</v>
      </c>
      <c r="AI5">
        <v>1</v>
      </c>
      <c r="AJ5">
        <v>2</v>
      </c>
      <c r="AK5">
        <v>1</v>
      </c>
      <c r="AL5">
        <v>1</v>
      </c>
      <c r="AM5">
        <v>2</v>
      </c>
      <c r="AN5">
        <v>1</v>
      </c>
      <c r="AO5">
        <v>3</v>
      </c>
      <c r="AP5" s="4">
        <f t="shared" si="5"/>
        <v>24</v>
      </c>
    </row>
    <row r="6" spans="1:42" x14ac:dyDescent="0.25">
      <c r="A6" s="1" t="s">
        <v>114</v>
      </c>
      <c r="B6" s="11" t="s">
        <v>62</v>
      </c>
      <c r="C6" s="12">
        <f t="shared" si="0"/>
        <v>148</v>
      </c>
      <c r="D6" s="12">
        <f t="shared" si="1"/>
        <v>285</v>
      </c>
      <c r="E6" s="13">
        <f t="shared" si="2"/>
        <v>0.51929824561403504</v>
      </c>
      <c r="F6" s="14">
        <f t="shared" si="3"/>
        <v>15</v>
      </c>
      <c r="H6">
        <v>9</v>
      </c>
      <c r="I6">
        <v>8</v>
      </c>
      <c r="J6">
        <v>5</v>
      </c>
      <c r="K6">
        <v>10.5</v>
      </c>
      <c r="L6">
        <v>6</v>
      </c>
      <c r="M6">
        <v>13</v>
      </c>
      <c r="N6">
        <v>10</v>
      </c>
      <c r="O6">
        <v>9</v>
      </c>
      <c r="P6">
        <v>10</v>
      </c>
      <c r="Q6">
        <v>9</v>
      </c>
      <c r="R6">
        <v>7</v>
      </c>
      <c r="S6">
        <v>10</v>
      </c>
      <c r="T6">
        <v>11</v>
      </c>
      <c r="U6">
        <v>16</v>
      </c>
      <c r="V6">
        <v>5</v>
      </c>
      <c r="W6">
        <v>9.5</v>
      </c>
      <c r="X6" s="4">
        <f t="shared" si="4"/>
        <v>148</v>
      </c>
      <c r="Z6">
        <v>2</v>
      </c>
      <c r="AA6">
        <v>0</v>
      </c>
      <c r="AB6">
        <v>0</v>
      </c>
      <c r="AC6">
        <v>1</v>
      </c>
      <c r="AD6">
        <v>0</v>
      </c>
      <c r="AE6">
        <v>2</v>
      </c>
      <c r="AF6">
        <v>1</v>
      </c>
      <c r="AG6">
        <v>1</v>
      </c>
      <c r="AH6">
        <v>1</v>
      </c>
      <c r="AI6">
        <v>0</v>
      </c>
      <c r="AJ6">
        <v>0</v>
      </c>
      <c r="AK6">
        <v>1</v>
      </c>
      <c r="AL6">
        <v>2</v>
      </c>
      <c r="AM6">
        <v>1</v>
      </c>
      <c r="AN6">
        <v>1</v>
      </c>
      <c r="AO6">
        <v>2</v>
      </c>
      <c r="AP6" s="4">
        <f t="shared" si="5"/>
        <v>15</v>
      </c>
    </row>
    <row r="7" spans="1:42" x14ac:dyDescent="0.25">
      <c r="A7" s="1" t="s">
        <v>115</v>
      </c>
      <c r="B7" s="11" t="s">
        <v>54</v>
      </c>
      <c r="C7" s="12">
        <f t="shared" si="0"/>
        <v>146</v>
      </c>
      <c r="D7" s="12">
        <f t="shared" si="1"/>
        <v>285</v>
      </c>
      <c r="E7" s="13">
        <f t="shared" si="2"/>
        <v>0.512280701754386</v>
      </c>
      <c r="F7" s="14">
        <f t="shared" si="3"/>
        <v>18.5</v>
      </c>
      <c r="H7">
        <v>8</v>
      </c>
      <c r="I7">
        <v>10</v>
      </c>
      <c r="J7">
        <v>8</v>
      </c>
      <c r="K7">
        <v>8.5</v>
      </c>
      <c r="L7">
        <v>5</v>
      </c>
      <c r="M7">
        <v>12</v>
      </c>
      <c r="N7">
        <v>9</v>
      </c>
      <c r="O7">
        <v>11</v>
      </c>
      <c r="P7">
        <v>12</v>
      </c>
      <c r="Q7">
        <v>7</v>
      </c>
      <c r="R7">
        <v>9</v>
      </c>
      <c r="S7">
        <v>11</v>
      </c>
      <c r="T7">
        <v>10</v>
      </c>
      <c r="U7">
        <v>13</v>
      </c>
      <c r="V7">
        <v>4</v>
      </c>
      <c r="W7">
        <v>8.5</v>
      </c>
      <c r="X7" s="4">
        <f t="shared" si="4"/>
        <v>146</v>
      </c>
      <c r="Z7">
        <v>1</v>
      </c>
      <c r="AA7">
        <v>1</v>
      </c>
      <c r="AB7">
        <v>1</v>
      </c>
      <c r="AC7">
        <v>1</v>
      </c>
      <c r="AD7">
        <v>1</v>
      </c>
      <c r="AE7">
        <v>2</v>
      </c>
      <c r="AF7">
        <v>0</v>
      </c>
      <c r="AG7">
        <v>2</v>
      </c>
      <c r="AH7">
        <v>1</v>
      </c>
      <c r="AI7">
        <v>1</v>
      </c>
      <c r="AJ7">
        <v>1</v>
      </c>
      <c r="AK7">
        <v>1</v>
      </c>
      <c r="AL7">
        <v>2</v>
      </c>
      <c r="AM7">
        <v>2</v>
      </c>
      <c r="AN7">
        <v>1</v>
      </c>
      <c r="AO7">
        <v>0.5</v>
      </c>
      <c r="AP7" s="4">
        <f t="shared" si="5"/>
        <v>18.5</v>
      </c>
    </row>
    <row r="8" spans="1:42" x14ac:dyDescent="0.25">
      <c r="A8" s="1" t="s">
        <v>116</v>
      </c>
      <c r="B8" s="11" t="s">
        <v>212</v>
      </c>
      <c r="C8" s="12">
        <f t="shared" si="0"/>
        <v>145</v>
      </c>
      <c r="D8" s="12">
        <f t="shared" si="1"/>
        <v>285</v>
      </c>
      <c r="E8" s="13">
        <f t="shared" si="2"/>
        <v>0.50877192982456143</v>
      </c>
      <c r="F8" s="14">
        <f t="shared" si="3"/>
        <v>19.5</v>
      </c>
      <c r="H8">
        <v>10</v>
      </c>
      <c r="I8">
        <v>9</v>
      </c>
      <c r="J8">
        <v>7</v>
      </c>
      <c r="K8">
        <v>10.5</v>
      </c>
      <c r="L8">
        <v>7</v>
      </c>
      <c r="M8">
        <v>14</v>
      </c>
      <c r="N8">
        <v>12</v>
      </c>
      <c r="O8">
        <v>9</v>
      </c>
      <c r="P8">
        <v>9</v>
      </c>
      <c r="Q8">
        <v>8</v>
      </c>
      <c r="R8">
        <v>8</v>
      </c>
      <c r="S8">
        <v>8</v>
      </c>
      <c r="T8">
        <v>11</v>
      </c>
      <c r="U8">
        <v>11</v>
      </c>
      <c r="V8">
        <v>3</v>
      </c>
      <c r="W8">
        <v>8.5</v>
      </c>
      <c r="X8" s="4">
        <f t="shared" si="4"/>
        <v>145</v>
      </c>
      <c r="Z8">
        <v>0</v>
      </c>
      <c r="AA8">
        <v>0</v>
      </c>
      <c r="AB8">
        <v>2</v>
      </c>
      <c r="AC8">
        <v>1</v>
      </c>
      <c r="AD8">
        <v>1</v>
      </c>
      <c r="AE8">
        <v>2</v>
      </c>
      <c r="AF8">
        <v>2</v>
      </c>
      <c r="AG8">
        <v>2</v>
      </c>
      <c r="AH8">
        <v>1</v>
      </c>
      <c r="AI8">
        <v>1</v>
      </c>
      <c r="AJ8">
        <v>1</v>
      </c>
      <c r="AK8">
        <v>0</v>
      </c>
      <c r="AL8">
        <v>2</v>
      </c>
      <c r="AM8">
        <v>2</v>
      </c>
      <c r="AN8">
        <v>1</v>
      </c>
      <c r="AO8">
        <v>1.5</v>
      </c>
      <c r="AP8" s="4">
        <f t="shared" si="5"/>
        <v>19.5</v>
      </c>
    </row>
    <row r="9" spans="1:42" x14ac:dyDescent="0.25">
      <c r="A9" s="1" t="s">
        <v>117</v>
      </c>
      <c r="B9" s="11" t="s">
        <v>40</v>
      </c>
      <c r="C9" s="12">
        <f t="shared" si="0"/>
        <v>145</v>
      </c>
      <c r="D9" s="12">
        <f t="shared" si="1"/>
        <v>285</v>
      </c>
      <c r="E9" s="13">
        <f t="shared" si="2"/>
        <v>0.50877192982456143</v>
      </c>
      <c r="F9" s="14">
        <f t="shared" si="3"/>
        <v>19</v>
      </c>
      <c r="H9">
        <v>8</v>
      </c>
      <c r="I9">
        <v>9</v>
      </c>
      <c r="J9">
        <v>10</v>
      </c>
      <c r="K9">
        <v>10.5</v>
      </c>
      <c r="L9">
        <v>5</v>
      </c>
      <c r="M9">
        <v>8</v>
      </c>
      <c r="N9">
        <v>10</v>
      </c>
      <c r="O9">
        <v>9</v>
      </c>
      <c r="P9">
        <v>11</v>
      </c>
      <c r="Q9">
        <v>6</v>
      </c>
      <c r="R9">
        <v>9</v>
      </c>
      <c r="S9">
        <v>11</v>
      </c>
      <c r="T9">
        <v>7</v>
      </c>
      <c r="U9">
        <v>14</v>
      </c>
      <c r="V9">
        <v>6</v>
      </c>
      <c r="W9">
        <v>11.5</v>
      </c>
      <c r="X9" s="4">
        <f t="shared" si="4"/>
        <v>145</v>
      </c>
      <c r="Z9">
        <v>0</v>
      </c>
      <c r="AA9">
        <v>2</v>
      </c>
      <c r="AB9">
        <v>1</v>
      </c>
      <c r="AC9">
        <v>0</v>
      </c>
      <c r="AD9">
        <v>0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2</v>
      </c>
      <c r="AL9">
        <v>0</v>
      </c>
      <c r="AM9">
        <v>2</v>
      </c>
      <c r="AN9">
        <v>2</v>
      </c>
      <c r="AO9">
        <v>4</v>
      </c>
      <c r="AP9" s="4">
        <f t="shared" si="5"/>
        <v>19</v>
      </c>
    </row>
    <row r="10" spans="1:42" x14ac:dyDescent="0.25">
      <c r="A10" s="1" t="s">
        <v>118</v>
      </c>
      <c r="B10" s="11" t="s">
        <v>191</v>
      </c>
      <c r="C10" s="12">
        <f t="shared" si="0"/>
        <v>145</v>
      </c>
      <c r="D10" s="12">
        <f t="shared" si="1"/>
        <v>285</v>
      </c>
      <c r="E10" s="13">
        <f t="shared" si="2"/>
        <v>0.50877192982456143</v>
      </c>
      <c r="F10" s="14">
        <f t="shared" si="3"/>
        <v>14</v>
      </c>
      <c r="H10">
        <v>8</v>
      </c>
      <c r="I10">
        <v>9</v>
      </c>
      <c r="J10">
        <v>13</v>
      </c>
      <c r="K10">
        <v>8.5</v>
      </c>
      <c r="L10">
        <v>9</v>
      </c>
      <c r="M10">
        <v>8</v>
      </c>
      <c r="N10">
        <v>8</v>
      </c>
      <c r="O10">
        <v>10</v>
      </c>
      <c r="P10">
        <v>12</v>
      </c>
      <c r="Q10">
        <v>10</v>
      </c>
      <c r="R10">
        <v>8</v>
      </c>
      <c r="S10">
        <v>8</v>
      </c>
      <c r="T10">
        <v>11</v>
      </c>
      <c r="U10">
        <v>9</v>
      </c>
      <c r="V10">
        <v>3</v>
      </c>
      <c r="W10">
        <v>10.5</v>
      </c>
      <c r="X10" s="4">
        <f t="shared" si="4"/>
        <v>145</v>
      </c>
      <c r="Z10">
        <v>1</v>
      </c>
      <c r="AA10">
        <v>2</v>
      </c>
      <c r="AB10">
        <v>2</v>
      </c>
      <c r="AC10">
        <v>0</v>
      </c>
      <c r="AD10">
        <v>0</v>
      </c>
      <c r="AE10">
        <v>1</v>
      </c>
      <c r="AF10">
        <v>0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0</v>
      </c>
      <c r="AM10">
        <v>1</v>
      </c>
      <c r="AN10">
        <v>1</v>
      </c>
      <c r="AO10">
        <v>1</v>
      </c>
      <c r="AP10" s="4">
        <f t="shared" si="5"/>
        <v>14</v>
      </c>
    </row>
    <row r="11" spans="1:42" x14ac:dyDescent="0.25">
      <c r="A11" s="1" t="s">
        <v>119</v>
      </c>
      <c r="B11" s="11" t="s">
        <v>39</v>
      </c>
      <c r="C11" s="12">
        <f t="shared" si="0"/>
        <v>144</v>
      </c>
      <c r="D11" s="12">
        <f t="shared" si="1"/>
        <v>285</v>
      </c>
      <c r="E11" s="13">
        <f t="shared" si="2"/>
        <v>0.50526315789473686</v>
      </c>
      <c r="F11" s="14">
        <f t="shared" si="3"/>
        <v>17.5</v>
      </c>
      <c r="H11">
        <v>9</v>
      </c>
      <c r="I11">
        <v>11</v>
      </c>
      <c r="J11">
        <v>9</v>
      </c>
      <c r="K11">
        <v>7.5</v>
      </c>
      <c r="L11">
        <v>8</v>
      </c>
      <c r="M11">
        <v>10</v>
      </c>
      <c r="N11">
        <v>7</v>
      </c>
      <c r="O11">
        <v>10</v>
      </c>
      <c r="P11">
        <v>14</v>
      </c>
      <c r="Q11">
        <v>8</v>
      </c>
      <c r="R11">
        <v>7</v>
      </c>
      <c r="S11">
        <v>10</v>
      </c>
      <c r="T11">
        <v>10</v>
      </c>
      <c r="U11">
        <v>8</v>
      </c>
      <c r="V11">
        <v>3</v>
      </c>
      <c r="W11">
        <v>12.5</v>
      </c>
      <c r="X11" s="4">
        <f t="shared" si="4"/>
        <v>144</v>
      </c>
      <c r="Z11">
        <v>0</v>
      </c>
      <c r="AA11">
        <v>0</v>
      </c>
      <c r="AB11">
        <v>2</v>
      </c>
      <c r="AC11">
        <v>1.5</v>
      </c>
      <c r="AD11">
        <v>0</v>
      </c>
      <c r="AE11">
        <v>2</v>
      </c>
      <c r="AF11">
        <v>2</v>
      </c>
      <c r="AG11">
        <v>1</v>
      </c>
      <c r="AH11">
        <v>1</v>
      </c>
      <c r="AI11">
        <v>1</v>
      </c>
      <c r="AJ11">
        <v>2</v>
      </c>
      <c r="AK11">
        <v>1</v>
      </c>
      <c r="AL11">
        <v>1</v>
      </c>
      <c r="AM11">
        <v>1</v>
      </c>
      <c r="AN11">
        <v>1</v>
      </c>
      <c r="AO11">
        <v>1</v>
      </c>
      <c r="AP11" s="4">
        <f t="shared" si="5"/>
        <v>17.5</v>
      </c>
    </row>
    <row r="12" spans="1:42" x14ac:dyDescent="0.25">
      <c r="A12" s="1" t="s">
        <v>120</v>
      </c>
      <c r="B12" s="11" t="s">
        <v>59</v>
      </c>
      <c r="C12" s="12">
        <f t="shared" si="0"/>
        <v>144</v>
      </c>
      <c r="D12" s="12">
        <f t="shared" si="1"/>
        <v>285</v>
      </c>
      <c r="E12" s="13">
        <f t="shared" si="2"/>
        <v>0.50526315789473686</v>
      </c>
      <c r="F12" s="14">
        <f t="shared" si="3"/>
        <v>17</v>
      </c>
      <c r="H12">
        <v>12</v>
      </c>
      <c r="I12">
        <v>10</v>
      </c>
      <c r="J12">
        <v>8</v>
      </c>
      <c r="K12">
        <v>8.5</v>
      </c>
      <c r="L12">
        <v>9</v>
      </c>
      <c r="M12">
        <v>9</v>
      </c>
      <c r="N12">
        <v>12</v>
      </c>
      <c r="O12">
        <v>11</v>
      </c>
      <c r="P12">
        <v>7</v>
      </c>
      <c r="Q12">
        <v>7</v>
      </c>
      <c r="R12">
        <v>7</v>
      </c>
      <c r="S12">
        <v>7</v>
      </c>
      <c r="T12">
        <v>10</v>
      </c>
      <c r="U12">
        <v>12</v>
      </c>
      <c r="V12">
        <v>2</v>
      </c>
      <c r="W12">
        <v>12.5</v>
      </c>
      <c r="X12" s="4">
        <f t="shared" si="4"/>
        <v>144</v>
      </c>
      <c r="Z12">
        <v>2</v>
      </c>
      <c r="AA12">
        <v>1</v>
      </c>
      <c r="AB12">
        <v>1</v>
      </c>
      <c r="AC12">
        <v>2</v>
      </c>
      <c r="AD12">
        <v>1</v>
      </c>
      <c r="AE12">
        <v>0</v>
      </c>
      <c r="AF12">
        <v>1</v>
      </c>
      <c r="AG12">
        <v>1</v>
      </c>
      <c r="AH12">
        <v>0</v>
      </c>
      <c r="AI12">
        <v>0</v>
      </c>
      <c r="AJ12">
        <v>0</v>
      </c>
      <c r="AK12">
        <v>1</v>
      </c>
      <c r="AL12">
        <v>2</v>
      </c>
      <c r="AM12">
        <v>2</v>
      </c>
      <c r="AN12">
        <v>0</v>
      </c>
      <c r="AO12">
        <v>3</v>
      </c>
      <c r="AP12" s="4">
        <f t="shared" si="5"/>
        <v>17</v>
      </c>
    </row>
    <row r="13" spans="1:42" x14ac:dyDescent="0.25">
      <c r="A13" s="1" t="s">
        <v>121</v>
      </c>
      <c r="B13" s="11" t="s">
        <v>45</v>
      </c>
      <c r="C13" s="12">
        <f t="shared" si="0"/>
        <v>141</v>
      </c>
      <c r="D13" s="12">
        <f t="shared" si="1"/>
        <v>285</v>
      </c>
      <c r="E13" s="13">
        <f t="shared" si="2"/>
        <v>0.49473684210526314</v>
      </c>
      <c r="F13" s="14">
        <f t="shared" si="3"/>
        <v>20</v>
      </c>
      <c r="H13">
        <v>6</v>
      </c>
      <c r="I13">
        <v>9</v>
      </c>
      <c r="J13">
        <v>4</v>
      </c>
      <c r="K13">
        <v>10.5</v>
      </c>
      <c r="L13">
        <v>8</v>
      </c>
      <c r="M13">
        <v>15</v>
      </c>
      <c r="N13">
        <v>7</v>
      </c>
      <c r="O13">
        <v>7</v>
      </c>
      <c r="P13">
        <v>12</v>
      </c>
      <c r="Q13">
        <v>8</v>
      </c>
      <c r="R13">
        <v>8</v>
      </c>
      <c r="S13">
        <v>8</v>
      </c>
      <c r="T13">
        <v>13</v>
      </c>
      <c r="U13">
        <v>14</v>
      </c>
      <c r="V13">
        <v>3</v>
      </c>
      <c r="W13">
        <v>8.5</v>
      </c>
      <c r="X13" s="4">
        <f t="shared" si="4"/>
        <v>141</v>
      </c>
      <c r="Z13">
        <v>1</v>
      </c>
      <c r="AA13">
        <v>1</v>
      </c>
      <c r="AB13">
        <v>1</v>
      </c>
      <c r="AC13">
        <v>2</v>
      </c>
      <c r="AD13">
        <v>0</v>
      </c>
      <c r="AE13">
        <v>2</v>
      </c>
      <c r="AF13">
        <v>0</v>
      </c>
      <c r="AG13">
        <v>1</v>
      </c>
      <c r="AH13">
        <v>2</v>
      </c>
      <c r="AI13">
        <v>1</v>
      </c>
      <c r="AJ13">
        <v>0</v>
      </c>
      <c r="AK13">
        <v>0</v>
      </c>
      <c r="AL13">
        <v>2</v>
      </c>
      <c r="AM13">
        <v>2</v>
      </c>
      <c r="AN13">
        <v>2</v>
      </c>
      <c r="AO13">
        <v>3</v>
      </c>
      <c r="AP13" s="4">
        <f t="shared" si="5"/>
        <v>20</v>
      </c>
    </row>
    <row r="14" spans="1:42" x14ac:dyDescent="0.25">
      <c r="A14" s="1" t="s">
        <v>122</v>
      </c>
      <c r="B14" s="11" t="s">
        <v>55</v>
      </c>
      <c r="C14" s="12">
        <f t="shared" si="0"/>
        <v>141</v>
      </c>
      <c r="D14" s="12">
        <f t="shared" si="1"/>
        <v>285</v>
      </c>
      <c r="E14" s="13">
        <f t="shared" si="2"/>
        <v>0.49473684210526314</v>
      </c>
      <c r="F14" s="14">
        <f t="shared" si="3"/>
        <v>18</v>
      </c>
      <c r="H14">
        <v>11</v>
      </c>
      <c r="I14">
        <v>7</v>
      </c>
      <c r="J14">
        <v>6</v>
      </c>
      <c r="K14">
        <v>11.5</v>
      </c>
      <c r="L14">
        <v>8</v>
      </c>
      <c r="M14">
        <v>12</v>
      </c>
      <c r="N14">
        <v>8</v>
      </c>
      <c r="O14">
        <v>9</v>
      </c>
      <c r="P14">
        <v>11</v>
      </c>
      <c r="Q14">
        <v>10</v>
      </c>
      <c r="R14">
        <v>5</v>
      </c>
      <c r="S14">
        <v>9</v>
      </c>
      <c r="T14">
        <v>10</v>
      </c>
      <c r="U14">
        <v>9</v>
      </c>
      <c r="V14">
        <v>1</v>
      </c>
      <c r="W14">
        <v>13.5</v>
      </c>
      <c r="X14" s="4">
        <f t="shared" si="4"/>
        <v>141</v>
      </c>
      <c r="Z14">
        <v>1</v>
      </c>
      <c r="AA14">
        <v>0</v>
      </c>
      <c r="AB14">
        <v>1</v>
      </c>
      <c r="AC14">
        <v>2</v>
      </c>
      <c r="AD14">
        <v>1</v>
      </c>
      <c r="AE14">
        <v>2</v>
      </c>
      <c r="AF14">
        <v>1</v>
      </c>
      <c r="AG14">
        <v>1</v>
      </c>
      <c r="AH14">
        <v>0</v>
      </c>
      <c r="AI14">
        <v>1</v>
      </c>
      <c r="AJ14">
        <v>2</v>
      </c>
      <c r="AK14">
        <v>2</v>
      </c>
      <c r="AL14">
        <v>2</v>
      </c>
      <c r="AM14">
        <v>1</v>
      </c>
      <c r="AN14">
        <v>0</v>
      </c>
      <c r="AO14">
        <v>1</v>
      </c>
      <c r="AP14" s="4">
        <f t="shared" si="5"/>
        <v>18</v>
      </c>
    </row>
    <row r="15" spans="1:42" x14ac:dyDescent="0.25">
      <c r="A15" s="1" t="s">
        <v>123</v>
      </c>
      <c r="B15" s="11" t="s">
        <v>57</v>
      </c>
      <c r="C15" s="12">
        <f t="shared" si="0"/>
        <v>140</v>
      </c>
      <c r="D15" s="12">
        <f t="shared" si="1"/>
        <v>285</v>
      </c>
      <c r="E15" s="13">
        <f t="shared" si="2"/>
        <v>0.49122807017543857</v>
      </c>
      <c r="F15" s="14">
        <f t="shared" si="3"/>
        <v>17</v>
      </c>
      <c r="H15">
        <v>8</v>
      </c>
      <c r="I15">
        <v>9</v>
      </c>
      <c r="J15">
        <v>9</v>
      </c>
      <c r="K15">
        <v>8.5</v>
      </c>
      <c r="L15">
        <v>6</v>
      </c>
      <c r="M15">
        <v>11</v>
      </c>
      <c r="N15">
        <v>9</v>
      </c>
      <c r="O15">
        <v>8</v>
      </c>
      <c r="P15">
        <v>11</v>
      </c>
      <c r="Q15">
        <v>7</v>
      </c>
      <c r="R15">
        <v>6</v>
      </c>
      <c r="S15">
        <v>12</v>
      </c>
      <c r="T15">
        <v>11</v>
      </c>
      <c r="U15">
        <v>14</v>
      </c>
      <c r="V15">
        <v>2</v>
      </c>
      <c r="W15">
        <v>8.5</v>
      </c>
      <c r="X15" s="4">
        <f t="shared" si="4"/>
        <v>140</v>
      </c>
      <c r="Z15">
        <v>0</v>
      </c>
      <c r="AA15">
        <v>0</v>
      </c>
      <c r="AB15">
        <v>2</v>
      </c>
      <c r="AC15">
        <v>2</v>
      </c>
      <c r="AD15">
        <v>1</v>
      </c>
      <c r="AE15">
        <v>0</v>
      </c>
      <c r="AF15">
        <v>0</v>
      </c>
      <c r="AG15">
        <v>1</v>
      </c>
      <c r="AH15">
        <v>2</v>
      </c>
      <c r="AI15">
        <v>1</v>
      </c>
      <c r="AJ15">
        <v>1</v>
      </c>
      <c r="AK15">
        <v>1</v>
      </c>
      <c r="AL15">
        <v>2</v>
      </c>
      <c r="AM15">
        <v>1</v>
      </c>
      <c r="AN15">
        <v>1</v>
      </c>
      <c r="AO15">
        <v>2</v>
      </c>
      <c r="AP15" s="4">
        <f t="shared" si="5"/>
        <v>17</v>
      </c>
    </row>
    <row r="16" spans="1:42" x14ac:dyDescent="0.25">
      <c r="A16" s="1" t="s">
        <v>124</v>
      </c>
      <c r="B16" s="11" t="s">
        <v>213</v>
      </c>
      <c r="C16" s="12">
        <f t="shared" si="0"/>
        <v>139</v>
      </c>
      <c r="D16" s="12">
        <f t="shared" si="1"/>
        <v>285</v>
      </c>
      <c r="E16" s="13">
        <f t="shared" si="2"/>
        <v>0.48771929824561405</v>
      </c>
      <c r="F16" s="14">
        <f t="shared" si="3"/>
        <v>15</v>
      </c>
      <c r="H16">
        <v>10</v>
      </c>
      <c r="I16">
        <v>7</v>
      </c>
      <c r="J16">
        <v>9</v>
      </c>
      <c r="K16">
        <v>9.5</v>
      </c>
      <c r="L16">
        <v>7</v>
      </c>
      <c r="M16">
        <v>12</v>
      </c>
      <c r="N16">
        <v>9</v>
      </c>
      <c r="O16">
        <v>10</v>
      </c>
      <c r="P16">
        <v>5</v>
      </c>
      <c r="Q16">
        <v>8</v>
      </c>
      <c r="R16">
        <v>7</v>
      </c>
      <c r="S16">
        <v>9</v>
      </c>
      <c r="T16">
        <v>14</v>
      </c>
      <c r="U16">
        <v>12</v>
      </c>
      <c r="V16">
        <v>4</v>
      </c>
      <c r="W16">
        <v>6.5</v>
      </c>
      <c r="X16" s="4">
        <f t="shared" si="4"/>
        <v>139</v>
      </c>
      <c r="Z16">
        <v>1</v>
      </c>
      <c r="AA16">
        <v>2</v>
      </c>
      <c r="AB16">
        <v>1</v>
      </c>
      <c r="AC16">
        <v>1</v>
      </c>
      <c r="AD16">
        <v>2</v>
      </c>
      <c r="AE16">
        <v>1</v>
      </c>
      <c r="AF16">
        <v>1</v>
      </c>
      <c r="AG16">
        <v>0</v>
      </c>
      <c r="AH16">
        <v>0</v>
      </c>
      <c r="AI16">
        <v>1</v>
      </c>
      <c r="AJ16">
        <v>0</v>
      </c>
      <c r="AK16">
        <v>1</v>
      </c>
      <c r="AL16">
        <v>1</v>
      </c>
      <c r="AM16">
        <v>1</v>
      </c>
      <c r="AN16">
        <v>1</v>
      </c>
      <c r="AO16">
        <v>1</v>
      </c>
      <c r="AP16" s="4">
        <f t="shared" si="5"/>
        <v>15</v>
      </c>
    </row>
    <row r="17" spans="1:42" x14ac:dyDescent="0.25">
      <c r="A17" s="1" t="s">
        <v>125</v>
      </c>
      <c r="B17" s="11" t="s">
        <v>48</v>
      </c>
      <c r="C17" s="12">
        <f t="shared" si="0"/>
        <v>138</v>
      </c>
      <c r="D17" s="12">
        <f t="shared" si="1"/>
        <v>285</v>
      </c>
      <c r="E17" s="13">
        <f t="shared" si="2"/>
        <v>0.48421052631578948</v>
      </c>
      <c r="F17" s="14">
        <f t="shared" si="3"/>
        <v>21</v>
      </c>
      <c r="H17">
        <v>6</v>
      </c>
      <c r="I17">
        <v>7</v>
      </c>
      <c r="J17">
        <v>10</v>
      </c>
      <c r="K17">
        <v>7.5</v>
      </c>
      <c r="L17">
        <v>6</v>
      </c>
      <c r="M17">
        <v>10</v>
      </c>
      <c r="N17">
        <v>10</v>
      </c>
      <c r="O17">
        <v>11</v>
      </c>
      <c r="P17">
        <v>8</v>
      </c>
      <c r="Q17">
        <v>8</v>
      </c>
      <c r="R17">
        <v>7</v>
      </c>
      <c r="S17">
        <v>11</v>
      </c>
      <c r="T17">
        <v>12</v>
      </c>
      <c r="U17">
        <v>14</v>
      </c>
      <c r="V17">
        <v>4</v>
      </c>
      <c r="W17">
        <v>6.5</v>
      </c>
      <c r="X17" s="4">
        <f t="shared" si="4"/>
        <v>138</v>
      </c>
      <c r="Z17">
        <v>1</v>
      </c>
      <c r="AA17">
        <v>0</v>
      </c>
      <c r="AB17">
        <v>2</v>
      </c>
      <c r="AC17">
        <v>2</v>
      </c>
      <c r="AD17">
        <v>0</v>
      </c>
      <c r="AE17">
        <v>2</v>
      </c>
      <c r="AF17">
        <v>0</v>
      </c>
      <c r="AG17">
        <v>1</v>
      </c>
      <c r="AH17">
        <v>1</v>
      </c>
      <c r="AI17">
        <v>1</v>
      </c>
      <c r="AJ17">
        <v>1</v>
      </c>
      <c r="AK17">
        <v>2</v>
      </c>
      <c r="AL17">
        <v>2</v>
      </c>
      <c r="AM17">
        <v>2</v>
      </c>
      <c r="AN17">
        <v>2</v>
      </c>
      <c r="AO17">
        <v>2</v>
      </c>
      <c r="AP17" s="4">
        <f t="shared" si="5"/>
        <v>21</v>
      </c>
    </row>
    <row r="18" spans="1:42" x14ac:dyDescent="0.25">
      <c r="A18" s="1" t="s">
        <v>126</v>
      </c>
      <c r="B18" s="11" t="s">
        <v>224</v>
      </c>
      <c r="C18" s="12">
        <f t="shared" si="0"/>
        <v>137</v>
      </c>
      <c r="D18" s="12">
        <f t="shared" si="1"/>
        <v>285</v>
      </c>
      <c r="E18" s="13">
        <f t="shared" si="2"/>
        <v>0.48070175438596491</v>
      </c>
      <c r="F18" s="14">
        <f t="shared" si="3"/>
        <v>20</v>
      </c>
      <c r="H18">
        <v>6</v>
      </c>
      <c r="I18">
        <v>10</v>
      </c>
      <c r="J18">
        <v>7</v>
      </c>
      <c r="K18">
        <v>11.5</v>
      </c>
      <c r="L18">
        <v>8</v>
      </c>
      <c r="M18">
        <v>9</v>
      </c>
      <c r="N18">
        <v>7</v>
      </c>
      <c r="O18">
        <v>8</v>
      </c>
      <c r="P18">
        <v>10</v>
      </c>
      <c r="Q18">
        <v>6</v>
      </c>
      <c r="R18">
        <v>7</v>
      </c>
      <c r="S18">
        <v>10</v>
      </c>
      <c r="T18">
        <v>11</v>
      </c>
      <c r="U18">
        <v>10</v>
      </c>
      <c r="V18">
        <v>3</v>
      </c>
      <c r="W18">
        <v>13.5</v>
      </c>
      <c r="X18" s="4">
        <f t="shared" si="4"/>
        <v>137</v>
      </c>
      <c r="Z18">
        <v>1</v>
      </c>
      <c r="AA18">
        <v>1</v>
      </c>
      <c r="AB18">
        <v>0</v>
      </c>
      <c r="AC18">
        <v>1</v>
      </c>
      <c r="AD18">
        <v>1</v>
      </c>
      <c r="AE18">
        <v>1</v>
      </c>
      <c r="AF18">
        <v>1</v>
      </c>
      <c r="AG18">
        <v>0</v>
      </c>
      <c r="AH18">
        <v>1</v>
      </c>
      <c r="AI18">
        <v>1</v>
      </c>
      <c r="AJ18">
        <v>1</v>
      </c>
      <c r="AK18">
        <v>2</v>
      </c>
      <c r="AL18">
        <v>1</v>
      </c>
      <c r="AM18">
        <v>2</v>
      </c>
      <c r="AN18">
        <v>1</v>
      </c>
      <c r="AO18">
        <v>5</v>
      </c>
      <c r="AP18" s="4">
        <f t="shared" si="5"/>
        <v>20</v>
      </c>
    </row>
    <row r="19" spans="1:42" x14ac:dyDescent="0.25">
      <c r="A19" s="1" t="s">
        <v>127</v>
      </c>
      <c r="B19" s="11" t="s">
        <v>253</v>
      </c>
      <c r="C19" s="12">
        <f t="shared" si="0"/>
        <v>136</v>
      </c>
      <c r="D19" s="12">
        <f t="shared" si="1"/>
        <v>285</v>
      </c>
      <c r="E19" s="13">
        <f t="shared" si="2"/>
        <v>0.47719298245614034</v>
      </c>
      <c r="F19" s="14">
        <f t="shared" si="3"/>
        <v>19</v>
      </c>
      <c r="H19">
        <v>11</v>
      </c>
      <c r="I19">
        <v>12</v>
      </c>
      <c r="J19">
        <v>9</v>
      </c>
      <c r="K19">
        <v>9.5</v>
      </c>
      <c r="L19">
        <v>8</v>
      </c>
      <c r="M19">
        <v>9</v>
      </c>
      <c r="N19">
        <v>8</v>
      </c>
      <c r="O19">
        <v>6</v>
      </c>
      <c r="P19">
        <v>12</v>
      </c>
      <c r="Q19">
        <v>7</v>
      </c>
      <c r="R19">
        <v>5</v>
      </c>
      <c r="S19">
        <v>11</v>
      </c>
      <c r="T19">
        <v>7</v>
      </c>
      <c r="U19">
        <v>9</v>
      </c>
      <c r="V19">
        <v>2</v>
      </c>
      <c r="W19">
        <v>10.5</v>
      </c>
      <c r="X19" s="4">
        <f t="shared" si="4"/>
        <v>136</v>
      </c>
      <c r="Z19">
        <v>1</v>
      </c>
      <c r="AA19">
        <v>2</v>
      </c>
      <c r="AB19">
        <v>1</v>
      </c>
      <c r="AC19">
        <v>2</v>
      </c>
      <c r="AD19">
        <v>2</v>
      </c>
      <c r="AE19">
        <v>1</v>
      </c>
      <c r="AF19">
        <v>0</v>
      </c>
      <c r="AG19">
        <v>2</v>
      </c>
      <c r="AH19">
        <v>2</v>
      </c>
      <c r="AI19">
        <v>1</v>
      </c>
      <c r="AJ19">
        <v>0</v>
      </c>
      <c r="AK19">
        <v>2</v>
      </c>
      <c r="AL19">
        <v>0</v>
      </c>
      <c r="AM19">
        <v>2</v>
      </c>
      <c r="AN19">
        <v>0</v>
      </c>
      <c r="AO19">
        <v>1</v>
      </c>
      <c r="AP19" s="4">
        <f t="shared" si="5"/>
        <v>19</v>
      </c>
    </row>
    <row r="20" spans="1:42" x14ac:dyDescent="0.25">
      <c r="A20" s="1" t="s">
        <v>128</v>
      </c>
      <c r="B20" s="11" t="s">
        <v>42</v>
      </c>
      <c r="C20" s="12">
        <f t="shared" si="0"/>
        <v>135</v>
      </c>
      <c r="D20" s="12">
        <f t="shared" si="1"/>
        <v>285</v>
      </c>
      <c r="E20" s="13">
        <f t="shared" si="2"/>
        <v>0.47368421052631576</v>
      </c>
      <c r="F20" s="14">
        <f t="shared" si="3"/>
        <v>18</v>
      </c>
      <c r="H20">
        <v>8</v>
      </c>
      <c r="I20">
        <v>7</v>
      </c>
      <c r="J20">
        <v>7</v>
      </c>
      <c r="K20">
        <v>7.5</v>
      </c>
      <c r="L20">
        <v>9</v>
      </c>
      <c r="M20">
        <v>10</v>
      </c>
      <c r="N20">
        <v>10</v>
      </c>
      <c r="O20">
        <v>6</v>
      </c>
      <c r="P20">
        <v>10</v>
      </c>
      <c r="Q20">
        <v>8</v>
      </c>
      <c r="R20">
        <v>8</v>
      </c>
      <c r="S20">
        <v>9</v>
      </c>
      <c r="T20">
        <v>11</v>
      </c>
      <c r="U20">
        <v>9</v>
      </c>
      <c r="V20">
        <v>5</v>
      </c>
      <c r="W20">
        <v>10.5</v>
      </c>
      <c r="X20" s="4">
        <f t="shared" si="4"/>
        <v>135</v>
      </c>
      <c r="Z20">
        <v>0</v>
      </c>
      <c r="AA20">
        <v>1</v>
      </c>
      <c r="AB20">
        <v>1</v>
      </c>
      <c r="AC20">
        <v>0</v>
      </c>
      <c r="AD20">
        <v>1</v>
      </c>
      <c r="AE20">
        <v>2</v>
      </c>
      <c r="AF20">
        <v>1</v>
      </c>
      <c r="AG20">
        <v>0</v>
      </c>
      <c r="AH20">
        <v>2</v>
      </c>
      <c r="AI20">
        <v>1</v>
      </c>
      <c r="AJ20">
        <v>1</v>
      </c>
      <c r="AK20">
        <v>2</v>
      </c>
      <c r="AL20">
        <v>1</v>
      </c>
      <c r="AM20">
        <v>1</v>
      </c>
      <c r="AN20">
        <v>2</v>
      </c>
      <c r="AO20">
        <v>2</v>
      </c>
      <c r="AP20" s="4">
        <f t="shared" si="5"/>
        <v>18</v>
      </c>
    </row>
    <row r="21" spans="1:42" x14ac:dyDescent="0.25">
      <c r="A21" s="1" t="s">
        <v>129</v>
      </c>
      <c r="B21" s="11" t="s">
        <v>214</v>
      </c>
      <c r="C21" s="12">
        <f t="shared" si="0"/>
        <v>133</v>
      </c>
      <c r="D21" s="12">
        <f t="shared" si="1"/>
        <v>285</v>
      </c>
      <c r="E21" s="13">
        <f t="shared" si="2"/>
        <v>0.46666666666666667</v>
      </c>
      <c r="F21" s="14">
        <f t="shared" si="3"/>
        <v>21</v>
      </c>
      <c r="H21">
        <v>7</v>
      </c>
      <c r="I21">
        <v>5</v>
      </c>
      <c r="J21">
        <v>7</v>
      </c>
      <c r="K21">
        <v>11.5</v>
      </c>
      <c r="L21">
        <v>8</v>
      </c>
      <c r="M21">
        <v>11</v>
      </c>
      <c r="N21">
        <v>11</v>
      </c>
      <c r="O21">
        <v>8</v>
      </c>
      <c r="P21">
        <v>12</v>
      </c>
      <c r="Q21">
        <v>7</v>
      </c>
      <c r="R21">
        <v>6</v>
      </c>
      <c r="S21">
        <v>10</v>
      </c>
      <c r="T21">
        <v>9</v>
      </c>
      <c r="U21">
        <v>12</v>
      </c>
      <c r="V21">
        <v>4</v>
      </c>
      <c r="W21">
        <v>4.5</v>
      </c>
      <c r="X21" s="4">
        <f t="shared" si="4"/>
        <v>133</v>
      </c>
      <c r="Z21">
        <v>1</v>
      </c>
      <c r="AA21">
        <v>0</v>
      </c>
      <c r="AB21">
        <v>1</v>
      </c>
      <c r="AC21">
        <v>1</v>
      </c>
      <c r="AD21">
        <v>2</v>
      </c>
      <c r="AE21">
        <v>1</v>
      </c>
      <c r="AF21">
        <v>2</v>
      </c>
      <c r="AG21">
        <v>1</v>
      </c>
      <c r="AH21">
        <v>0</v>
      </c>
      <c r="AI21">
        <v>1</v>
      </c>
      <c r="AJ21">
        <v>1</v>
      </c>
      <c r="AK21">
        <v>2</v>
      </c>
      <c r="AL21">
        <v>2</v>
      </c>
      <c r="AM21">
        <v>2</v>
      </c>
      <c r="AN21">
        <v>1</v>
      </c>
      <c r="AO21">
        <v>3</v>
      </c>
      <c r="AP21" s="4">
        <f t="shared" si="5"/>
        <v>21</v>
      </c>
    </row>
    <row r="22" spans="1:42" x14ac:dyDescent="0.25">
      <c r="A22" s="1" t="s">
        <v>130</v>
      </c>
      <c r="B22" s="11" t="s">
        <v>46</v>
      </c>
      <c r="C22" s="12">
        <f t="shared" si="0"/>
        <v>133</v>
      </c>
      <c r="D22" s="12">
        <f t="shared" si="1"/>
        <v>285</v>
      </c>
      <c r="E22" s="13">
        <f t="shared" si="2"/>
        <v>0.46666666666666667</v>
      </c>
      <c r="F22" s="14">
        <f t="shared" si="3"/>
        <v>20</v>
      </c>
      <c r="H22">
        <v>5</v>
      </c>
      <c r="I22">
        <v>8</v>
      </c>
      <c r="J22">
        <v>7</v>
      </c>
      <c r="K22">
        <v>5.5</v>
      </c>
      <c r="L22">
        <v>8</v>
      </c>
      <c r="M22">
        <v>11</v>
      </c>
      <c r="N22">
        <v>12</v>
      </c>
      <c r="O22">
        <v>9</v>
      </c>
      <c r="P22">
        <v>10</v>
      </c>
      <c r="Q22">
        <v>8</v>
      </c>
      <c r="R22">
        <v>5</v>
      </c>
      <c r="S22">
        <v>12</v>
      </c>
      <c r="T22">
        <v>10</v>
      </c>
      <c r="U22">
        <v>10</v>
      </c>
      <c r="V22">
        <v>3</v>
      </c>
      <c r="W22">
        <v>9.5</v>
      </c>
      <c r="X22" s="4">
        <f t="shared" si="4"/>
        <v>133</v>
      </c>
      <c r="Z22">
        <v>1</v>
      </c>
      <c r="AA22">
        <v>0</v>
      </c>
      <c r="AB22">
        <v>1</v>
      </c>
      <c r="AC22">
        <v>0</v>
      </c>
      <c r="AD22">
        <v>0</v>
      </c>
      <c r="AE22">
        <v>2</v>
      </c>
      <c r="AF22">
        <v>1</v>
      </c>
      <c r="AG22">
        <v>2</v>
      </c>
      <c r="AH22">
        <v>2</v>
      </c>
      <c r="AI22">
        <v>1</v>
      </c>
      <c r="AJ22">
        <v>1</v>
      </c>
      <c r="AK22">
        <v>2</v>
      </c>
      <c r="AL22">
        <v>2</v>
      </c>
      <c r="AM22">
        <v>1</v>
      </c>
      <c r="AN22">
        <v>2</v>
      </c>
      <c r="AO22">
        <v>2</v>
      </c>
      <c r="AP22" s="4">
        <f t="shared" si="5"/>
        <v>20</v>
      </c>
    </row>
    <row r="23" spans="1:42" x14ac:dyDescent="0.25">
      <c r="A23" s="1" t="s">
        <v>131</v>
      </c>
      <c r="B23" s="11" t="s">
        <v>52</v>
      </c>
      <c r="C23" s="12">
        <f t="shared" si="0"/>
        <v>133</v>
      </c>
      <c r="D23" s="12">
        <f t="shared" si="1"/>
        <v>285</v>
      </c>
      <c r="E23" s="13">
        <f t="shared" si="2"/>
        <v>0.46666666666666667</v>
      </c>
      <c r="F23" s="14">
        <f t="shared" si="3"/>
        <v>19.5</v>
      </c>
      <c r="H23">
        <v>7</v>
      </c>
      <c r="I23">
        <v>5</v>
      </c>
      <c r="J23">
        <v>8</v>
      </c>
      <c r="K23">
        <v>9.5</v>
      </c>
      <c r="L23">
        <v>6</v>
      </c>
      <c r="M23">
        <v>11</v>
      </c>
      <c r="N23">
        <v>10</v>
      </c>
      <c r="O23">
        <v>9</v>
      </c>
      <c r="P23">
        <v>9</v>
      </c>
      <c r="Q23">
        <v>8</v>
      </c>
      <c r="R23">
        <v>7</v>
      </c>
      <c r="S23">
        <v>9</v>
      </c>
      <c r="T23">
        <v>12</v>
      </c>
      <c r="U23">
        <v>12</v>
      </c>
      <c r="V23">
        <v>3</v>
      </c>
      <c r="W23">
        <v>7.5</v>
      </c>
      <c r="X23" s="4">
        <f t="shared" si="4"/>
        <v>133</v>
      </c>
      <c r="Z23">
        <v>2</v>
      </c>
      <c r="AA23">
        <v>1</v>
      </c>
      <c r="AB23">
        <v>1</v>
      </c>
      <c r="AC23">
        <v>1.5</v>
      </c>
      <c r="AD23">
        <v>2</v>
      </c>
      <c r="AE23">
        <v>1</v>
      </c>
      <c r="AF23">
        <v>1</v>
      </c>
      <c r="AG23">
        <v>1</v>
      </c>
      <c r="AH23">
        <v>1</v>
      </c>
      <c r="AI23">
        <v>2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 s="4">
        <f t="shared" si="5"/>
        <v>19.5</v>
      </c>
    </row>
    <row r="24" spans="1:42" x14ac:dyDescent="0.25">
      <c r="A24" s="1" t="s">
        <v>132</v>
      </c>
      <c r="B24" s="11" t="s">
        <v>53</v>
      </c>
      <c r="C24" s="12">
        <f t="shared" si="0"/>
        <v>133</v>
      </c>
      <c r="D24" s="12">
        <f t="shared" si="1"/>
        <v>285</v>
      </c>
      <c r="E24" s="13">
        <f t="shared" si="2"/>
        <v>0.46666666666666667</v>
      </c>
      <c r="F24" s="14">
        <f t="shared" si="3"/>
        <v>14</v>
      </c>
      <c r="H24">
        <v>8</v>
      </c>
      <c r="I24">
        <v>10</v>
      </c>
      <c r="J24">
        <v>4</v>
      </c>
      <c r="K24">
        <v>11.5</v>
      </c>
      <c r="L24">
        <v>5</v>
      </c>
      <c r="M24">
        <v>10</v>
      </c>
      <c r="N24">
        <v>11</v>
      </c>
      <c r="O24">
        <v>8</v>
      </c>
      <c r="P24">
        <v>10</v>
      </c>
      <c r="Q24">
        <v>3</v>
      </c>
      <c r="R24">
        <v>9</v>
      </c>
      <c r="S24">
        <v>12</v>
      </c>
      <c r="T24">
        <v>10</v>
      </c>
      <c r="U24">
        <v>14</v>
      </c>
      <c r="V24">
        <v>3</v>
      </c>
      <c r="W24">
        <v>4.5</v>
      </c>
      <c r="X24" s="4">
        <f t="shared" si="4"/>
        <v>133</v>
      </c>
      <c r="Z24">
        <v>0</v>
      </c>
      <c r="AA24">
        <v>1</v>
      </c>
      <c r="AB24">
        <v>0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0</v>
      </c>
      <c r="AJ24">
        <v>1</v>
      </c>
      <c r="AK24">
        <v>0</v>
      </c>
      <c r="AL24">
        <v>2</v>
      </c>
      <c r="AM24">
        <v>1</v>
      </c>
      <c r="AN24">
        <v>1</v>
      </c>
      <c r="AO24">
        <v>2</v>
      </c>
      <c r="AP24" s="4">
        <f t="shared" si="5"/>
        <v>14</v>
      </c>
    </row>
    <row r="25" spans="1:42" x14ac:dyDescent="0.25">
      <c r="A25" s="1" t="s">
        <v>133</v>
      </c>
      <c r="B25" s="11" t="s">
        <v>41</v>
      </c>
      <c r="C25" s="12">
        <f t="shared" si="0"/>
        <v>133</v>
      </c>
      <c r="D25" s="12">
        <f t="shared" si="1"/>
        <v>285</v>
      </c>
      <c r="E25" s="13">
        <f t="shared" si="2"/>
        <v>0.46666666666666667</v>
      </c>
      <c r="F25" s="14">
        <f t="shared" si="3"/>
        <v>13</v>
      </c>
      <c r="H25">
        <v>7</v>
      </c>
      <c r="I25">
        <v>7</v>
      </c>
      <c r="J25">
        <v>10</v>
      </c>
      <c r="K25">
        <v>8.5</v>
      </c>
      <c r="L25">
        <v>7</v>
      </c>
      <c r="M25">
        <v>10</v>
      </c>
      <c r="N25">
        <v>12</v>
      </c>
      <c r="O25">
        <v>11</v>
      </c>
      <c r="P25">
        <v>7</v>
      </c>
      <c r="Q25">
        <v>4</v>
      </c>
      <c r="R25">
        <v>9</v>
      </c>
      <c r="S25">
        <v>9</v>
      </c>
      <c r="T25">
        <v>9</v>
      </c>
      <c r="U25">
        <v>11</v>
      </c>
      <c r="V25">
        <v>2</v>
      </c>
      <c r="W25">
        <v>9.5</v>
      </c>
      <c r="X25" s="4">
        <f t="shared" si="4"/>
        <v>133</v>
      </c>
      <c r="Z25">
        <v>1</v>
      </c>
      <c r="AA25">
        <v>1</v>
      </c>
      <c r="AB25">
        <v>1</v>
      </c>
      <c r="AC25">
        <v>1</v>
      </c>
      <c r="AD25">
        <v>0</v>
      </c>
      <c r="AE25">
        <v>0</v>
      </c>
      <c r="AF25">
        <v>0</v>
      </c>
      <c r="AG25">
        <v>1</v>
      </c>
      <c r="AH25">
        <v>1</v>
      </c>
      <c r="AI25">
        <v>0</v>
      </c>
      <c r="AJ25">
        <v>2</v>
      </c>
      <c r="AK25">
        <v>1</v>
      </c>
      <c r="AL25">
        <v>1</v>
      </c>
      <c r="AM25">
        <v>1</v>
      </c>
      <c r="AN25">
        <v>0</v>
      </c>
      <c r="AO25">
        <v>2</v>
      </c>
      <c r="AP25" s="4">
        <f t="shared" si="5"/>
        <v>13</v>
      </c>
    </row>
    <row r="26" spans="1:42" x14ac:dyDescent="0.25">
      <c r="A26" s="1" t="s">
        <v>134</v>
      </c>
      <c r="B26" s="11" t="s">
        <v>51</v>
      </c>
      <c r="C26" s="12">
        <f t="shared" si="0"/>
        <v>132</v>
      </c>
      <c r="D26" s="12">
        <f t="shared" si="1"/>
        <v>285</v>
      </c>
      <c r="E26" s="13">
        <f t="shared" si="2"/>
        <v>0.4631578947368421</v>
      </c>
      <c r="F26" s="14">
        <f t="shared" si="3"/>
        <v>20</v>
      </c>
      <c r="H26">
        <v>6</v>
      </c>
      <c r="I26">
        <v>6</v>
      </c>
      <c r="J26">
        <v>7</v>
      </c>
      <c r="K26">
        <v>8.5</v>
      </c>
      <c r="L26">
        <v>5</v>
      </c>
      <c r="M26">
        <v>10</v>
      </c>
      <c r="N26">
        <v>11</v>
      </c>
      <c r="O26">
        <v>9</v>
      </c>
      <c r="P26">
        <v>10</v>
      </c>
      <c r="Q26">
        <v>7</v>
      </c>
      <c r="R26">
        <v>7</v>
      </c>
      <c r="S26">
        <v>9</v>
      </c>
      <c r="T26">
        <v>12</v>
      </c>
      <c r="U26">
        <v>11</v>
      </c>
      <c r="V26">
        <v>3</v>
      </c>
      <c r="W26">
        <v>10.5</v>
      </c>
      <c r="X26" s="4">
        <f t="shared" si="4"/>
        <v>132</v>
      </c>
      <c r="Z26">
        <v>1</v>
      </c>
      <c r="AA26">
        <v>0</v>
      </c>
      <c r="AB26">
        <v>0</v>
      </c>
      <c r="AC26">
        <v>1</v>
      </c>
      <c r="AD26">
        <v>1</v>
      </c>
      <c r="AE26">
        <v>1</v>
      </c>
      <c r="AF26">
        <v>2</v>
      </c>
      <c r="AG26">
        <v>1</v>
      </c>
      <c r="AH26">
        <v>2</v>
      </c>
      <c r="AI26">
        <v>1</v>
      </c>
      <c r="AJ26">
        <v>2</v>
      </c>
      <c r="AK26">
        <v>1</v>
      </c>
      <c r="AL26">
        <v>1</v>
      </c>
      <c r="AM26">
        <v>0</v>
      </c>
      <c r="AN26">
        <v>2</v>
      </c>
      <c r="AO26">
        <v>4</v>
      </c>
      <c r="AP26" s="4">
        <f t="shared" si="5"/>
        <v>20</v>
      </c>
    </row>
    <row r="27" spans="1:42" x14ac:dyDescent="0.25">
      <c r="A27" s="1" t="s">
        <v>135</v>
      </c>
      <c r="B27" s="11" t="s">
        <v>196</v>
      </c>
      <c r="C27" s="12">
        <f t="shared" si="0"/>
        <v>132</v>
      </c>
      <c r="D27" s="12">
        <f t="shared" si="1"/>
        <v>285</v>
      </c>
      <c r="E27" s="13">
        <f t="shared" si="2"/>
        <v>0.4631578947368421</v>
      </c>
      <c r="F27" s="14">
        <f t="shared" si="3"/>
        <v>16.5</v>
      </c>
      <c r="H27">
        <v>8</v>
      </c>
      <c r="I27">
        <v>7</v>
      </c>
      <c r="J27">
        <v>9</v>
      </c>
      <c r="K27">
        <v>8.5</v>
      </c>
      <c r="L27">
        <v>6</v>
      </c>
      <c r="M27">
        <v>9</v>
      </c>
      <c r="N27">
        <v>9</v>
      </c>
      <c r="O27">
        <v>8</v>
      </c>
      <c r="P27">
        <v>10</v>
      </c>
      <c r="Q27">
        <v>8</v>
      </c>
      <c r="R27">
        <v>7</v>
      </c>
      <c r="S27">
        <v>7</v>
      </c>
      <c r="T27">
        <v>11</v>
      </c>
      <c r="U27">
        <v>12</v>
      </c>
      <c r="V27">
        <v>4</v>
      </c>
      <c r="W27">
        <v>8.5</v>
      </c>
      <c r="X27" s="4">
        <f t="shared" si="4"/>
        <v>132</v>
      </c>
      <c r="Z27">
        <v>1</v>
      </c>
      <c r="AA27">
        <v>1</v>
      </c>
      <c r="AB27">
        <v>1</v>
      </c>
      <c r="AC27">
        <v>1.5</v>
      </c>
      <c r="AD27">
        <v>1</v>
      </c>
      <c r="AE27">
        <v>1</v>
      </c>
      <c r="AF27">
        <v>1</v>
      </c>
      <c r="AG27">
        <v>1</v>
      </c>
      <c r="AH27">
        <v>0</v>
      </c>
      <c r="AI27">
        <v>1</v>
      </c>
      <c r="AJ27">
        <v>1</v>
      </c>
      <c r="AK27">
        <v>0</v>
      </c>
      <c r="AL27">
        <v>0</v>
      </c>
      <c r="AM27">
        <v>2</v>
      </c>
      <c r="AN27">
        <v>2</v>
      </c>
      <c r="AO27">
        <v>2</v>
      </c>
      <c r="AP27" s="4">
        <f t="shared" si="5"/>
        <v>16.5</v>
      </c>
    </row>
    <row r="28" spans="1:42" x14ac:dyDescent="0.25">
      <c r="A28" s="1" t="s">
        <v>136</v>
      </c>
      <c r="B28" s="11" t="s">
        <v>43</v>
      </c>
      <c r="C28" s="12">
        <f t="shared" si="0"/>
        <v>132</v>
      </c>
      <c r="D28" s="12">
        <f t="shared" si="1"/>
        <v>285</v>
      </c>
      <c r="E28" s="13">
        <f t="shared" si="2"/>
        <v>0.4631578947368421</v>
      </c>
      <c r="F28" s="14">
        <f t="shared" si="3"/>
        <v>11</v>
      </c>
      <c r="H28">
        <v>9</v>
      </c>
      <c r="I28">
        <v>6</v>
      </c>
      <c r="J28">
        <v>7</v>
      </c>
      <c r="K28">
        <v>7.5</v>
      </c>
      <c r="L28">
        <v>6</v>
      </c>
      <c r="M28">
        <v>10</v>
      </c>
      <c r="N28">
        <v>11</v>
      </c>
      <c r="O28">
        <v>9</v>
      </c>
      <c r="P28">
        <v>11</v>
      </c>
      <c r="Q28">
        <v>7</v>
      </c>
      <c r="R28">
        <v>9</v>
      </c>
      <c r="S28">
        <v>11</v>
      </c>
      <c r="T28">
        <v>11</v>
      </c>
      <c r="U28">
        <v>9</v>
      </c>
      <c r="V28">
        <v>4</v>
      </c>
      <c r="W28">
        <v>4.5</v>
      </c>
      <c r="X28" s="4">
        <f t="shared" si="4"/>
        <v>132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1</v>
      </c>
      <c r="AF28">
        <v>1</v>
      </c>
      <c r="AG28">
        <v>0</v>
      </c>
      <c r="AH28">
        <v>1</v>
      </c>
      <c r="AI28">
        <v>1</v>
      </c>
      <c r="AJ28">
        <v>1</v>
      </c>
      <c r="AK28">
        <v>1</v>
      </c>
      <c r="AL28">
        <v>1</v>
      </c>
      <c r="AM28">
        <v>0</v>
      </c>
      <c r="AN28">
        <v>1</v>
      </c>
      <c r="AO28">
        <v>1</v>
      </c>
      <c r="AP28" s="4">
        <f t="shared" si="5"/>
        <v>11</v>
      </c>
    </row>
    <row r="29" spans="1:42" x14ac:dyDescent="0.25">
      <c r="A29" s="1" t="s">
        <v>137</v>
      </c>
      <c r="B29" s="11" t="s">
        <v>268</v>
      </c>
      <c r="C29" s="12">
        <f t="shared" si="0"/>
        <v>130</v>
      </c>
      <c r="D29" s="12">
        <f t="shared" si="1"/>
        <v>285</v>
      </c>
      <c r="E29" s="13">
        <f t="shared" si="2"/>
        <v>0.45614035087719296</v>
      </c>
      <c r="F29" s="14">
        <f t="shared" si="3"/>
        <v>13.5</v>
      </c>
      <c r="H29">
        <v>4</v>
      </c>
      <c r="I29">
        <v>6</v>
      </c>
      <c r="J29">
        <v>5</v>
      </c>
      <c r="K29">
        <v>11.5</v>
      </c>
      <c r="L29">
        <v>9</v>
      </c>
      <c r="M29">
        <v>12</v>
      </c>
      <c r="N29">
        <v>10</v>
      </c>
      <c r="O29">
        <v>9</v>
      </c>
      <c r="P29">
        <v>7</v>
      </c>
      <c r="Q29">
        <v>8</v>
      </c>
      <c r="R29">
        <v>7</v>
      </c>
      <c r="S29">
        <v>8</v>
      </c>
      <c r="T29">
        <v>11</v>
      </c>
      <c r="U29">
        <v>12</v>
      </c>
      <c r="V29">
        <v>3</v>
      </c>
      <c r="W29">
        <v>7.5</v>
      </c>
      <c r="X29" s="4">
        <f t="shared" si="4"/>
        <v>130</v>
      </c>
      <c r="Z29">
        <v>0</v>
      </c>
      <c r="AA29">
        <v>1</v>
      </c>
      <c r="AB29">
        <v>0</v>
      </c>
      <c r="AC29">
        <v>0.5</v>
      </c>
      <c r="AD29">
        <v>0</v>
      </c>
      <c r="AE29">
        <v>2</v>
      </c>
      <c r="AF29">
        <v>2</v>
      </c>
      <c r="AG29">
        <v>0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0</v>
      </c>
      <c r="AN29">
        <v>1</v>
      </c>
      <c r="AO29">
        <v>2</v>
      </c>
      <c r="AP29" s="4">
        <f t="shared" si="5"/>
        <v>13.5</v>
      </c>
    </row>
    <row r="30" spans="1:42" x14ac:dyDescent="0.25">
      <c r="A30" s="1" t="s">
        <v>138</v>
      </c>
      <c r="B30" s="11" t="s">
        <v>50</v>
      </c>
      <c r="C30" s="12">
        <f t="shared" si="0"/>
        <v>129</v>
      </c>
      <c r="D30" s="12">
        <f t="shared" si="1"/>
        <v>285</v>
      </c>
      <c r="E30" s="13">
        <f t="shared" si="2"/>
        <v>0.45263157894736844</v>
      </c>
      <c r="F30" s="14">
        <f t="shared" si="3"/>
        <v>25</v>
      </c>
      <c r="H30">
        <v>6</v>
      </c>
      <c r="I30">
        <v>7</v>
      </c>
      <c r="J30">
        <v>7</v>
      </c>
      <c r="K30">
        <v>6.5</v>
      </c>
      <c r="L30">
        <v>7</v>
      </c>
      <c r="M30">
        <v>10</v>
      </c>
      <c r="N30">
        <v>11</v>
      </c>
      <c r="O30">
        <v>9</v>
      </c>
      <c r="P30">
        <v>8</v>
      </c>
      <c r="Q30">
        <v>8</v>
      </c>
      <c r="R30">
        <v>6</v>
      </c>
      <c r="S30">
        <v>10</v>
      </c>
      <c r="T30">
        <v>12</v>
      </c>
      <c r="U30">
        <v>11</v>
      </c>
      <c r="V30">
        <v>3</v>
      </c>
      <c r="W30">
        <v>7.5</v>
      </c>
      <c r="X30" s="4">
        <f t="shared" si="4"/>
        <v>129</v>
      </c>
      <c r="Z30">
        <v>1</v>
      </c>
      <c r="AA30">
        <v>1</v>
      </c>
      <c r="AB30">
        <v>1</v>
      </c>
      <c r="AC30">
        <v>2</v>
      </c>
      <c r="AD30">
        <v>2</v>
      </c>
      <c r="AE30">
        <v>2</v>
      </c>
      <c r="AF30">
        <v>2</v>
      </c>
      <c r="AG30">
        <v>1</v>
      </c>
      <c r="AH30">
        <v>2</v>
      </c>
      <c r="AI30">
        <v>1</v>
      </c>
      <c r="AJ30">
        <v>1</v>
      </c>
      <c r="AK30">
        <v>2</v>
      </c>
      <c r="AL30">
        <v>2</v>
      </c>
      <c r="AM30">
        <v>1</v>
      </c>
      <c r="AN30">
        <v>1</v>
      </c>
      <c r="AO30">
        <v>3</v>
      </c>
      <c r="AP30" s="4">
        <f t="shared" si="5"/>
        <v>25</v>
      </c>
    </row>
    <row r="31" spans="1:42" x14ac:dyDescent="0.25">
      <c r="A31" s="1" t="s">
        <v>139</v>
      </c>
      <c r="B31" s="11" t="s">
        <v>56</v>
      </c>
      <c r="C31" s="12">
        <f t="shared" si="0"/>
        <v>129</v>
      </c>
      <c r="D31" s="12">
        <f t="shared" si="1"/>
        <v>285</v>
      </c>
      <c r="E31" s="13">
        <f t="shared" si="2"/>
        <v>0.45263157894736844</v>
      </c>
      <c r="F31" s="14">
        <f t="shared" si="3"/>
        <v>19</v>
      </c>
      <c r="H31">
        <v>8</v>
      </c>
      <c r="I31">
        <v>6</v>
      </c>
      <c r="J31">
        <v>8</v>
      </c>
      <c r="K31">
        <v>9.5</v>
      </c>
      <c r="L31">
        <v>6</v>
      </c>
      <c r="M31">
        <v>12</v>
      </c>
      <c r="N31">
        <v>9</v>
      </c>
      <c r="O31">
        <v>7</v>
      </c>
      <c r="P31">
        <v>9</v>
      </c>
      <c r="Q31">
        <v>8</v>
      </c>
      <c r="R31">
        <v>7</v>
      </c>
      <c r="S31">
        <v>9</v>
      </c>
      <c r="T31">
        <v>10</v>
      </c>
      <c r="U31">
        <v>10</v>
      </c>
      <c r="V31">
        <v>2</v>
      </c>
      <c r="W31">
        <v>8.5</v>
      </c>
      <c r="X31" s="4">
        <f t="shared" si="4"/>
        <v>129</v>
      </c>
      <c r="Z31">
        <v>1</v>
      </c>
      <c r="AA31">
        <v>0</v>
      </c>
      <c r="AB31">
        <v>2</v>
      </c>
      <c r="AC31">
        <v>1</v>
      </c>
      <c r="AD31">
        <v>1</v>
      </c>
      <c r="AE31">
        <v>2</v>
      </c>
      <c r="AF31">
        <v>1</v>
      </c>
      <c r="AG31">
        <v>0</v>
      </c>
      <c r="AH31">
        <v>1</v>
      </c>
      <c r="AI31">
        <v>1</v>
      </c>
      <c r="AJ31">
        <v>1</v>
      </c>
      <c r="AK31">
        <v>2</v>
      </c>
      <c r="AL31">
        <v>2</v>
      </c>
      <c r="AM31">
        <v>0</v>
      </c>
      <c r="AN31">
        <v>1</v>
      </c>
      <c r="AO31">
        <v>3</v>
      </c>
      <c r="AP31" s="4">
        <f t="shared" si="5"/>
        <v>19</v>
      </c>
    </row>
    <row r="32" spans="1:42" x14ac:dyDescent="0.25">
      <c r="A32" s="1" t="s">
        <v>140</v>
      </c>
      <c r="B32" s="11" t="s">
        <v>61</v>
      </c>
      <c r="C32" s="12">
        <f t="shared" si="0"/>
        <v>128</v>
      </c>
      <c r="D32" s="12">
        <f t="shared" si="1"/>
        <v>285</v>
      </c>
      <c r="E32" s="13">
        <f t="shared" si="2"/>
        <v>0.44912280701754387</v>
      </c>
      <c r="F32" s="14">
        <f t="shared" si="3"/>
        <v>19</v>
      </c>
      <c r="H32">
        <v>8</v>
      </c>
      <c r="I32">
        <v>4</v>
      </c>
      <c r="J32">
        <v>6</v>
      </c>
      <c r="K32">
        <v>8.5</v>
      </c>
      <c r="L32">
        <v>7</v>
      </c>
      <c r="M32">
        <v>10</v>
      </c>
      <c r="N32">
        <v>9</v>
      </c>
      <c r="O32">
        <v>5</v>
      </c>
      <c r="P32">
        <v>13</v>
      </c>
      <c r="Q32">
        <v>6</v>
      </c>
      <c r="R32">
        <v>8</v>
      </c>
      <c r="S32">
        <v>10</v>
      </c>
      <c r="T32">
        <v>8</v>
      </c>
      <c r="U32">
        <v>14</v>
      </c>
      <c r="V32">
        <v>3</v>
      </c>
      <c r="W32">
        <v>8.5</v>
      </c>
      <c r="X32" s="4">
        <f t="shared" si="4"/>
        <v>128</v>
      </c>
      <c r="Z32">
        <v>2</v>
      </c>
      <c r="AA32">
        <v>0</v>
      </c>
      <c r="AB32">
        <v>2</v>
      </c>
      <c r="AC32">
        <v>1</v>
      </c>
      <c r="AD32">
        <v>1</v>
      </c>
      <c r="AE32">
        <v>1</v>
      </c>
      <c r="AF32">
        <v>2</v>
      </c>
      <c r="AG32">
        <v>1</v>
      </c>
      <c r="AH32">
        <v>1</v>
      </c>
      <c r="AI32">
        <v>0</v>
      </c>
      <c r="AJ32">
        <v>2</v>
      </c>
      <c r="AK32">
        <v>1</v>
      </c>
      <c r="AL32">
        <v>1</v>
      </c>
      <c r="AM32">
        <v>2</v>
      </c>
      <c r="AN32">
        <v>1</v>
      </c>
      <c r="AO32">
        <v>1</v>
      </c>
      <c r="AP32" s="4">
        <f t="shared" si="5"/>
        <v>19</v>
      </c>
    </row>
    <row r="33" spans="1:42" x14ac:dyDescent="0.25">
      <c r="A33" s="1" t="s">
        <v>141</v>
      </c>
      <c r="B33" s="11" t="s">
        <v>269</v>
      </c>
      <c r="C33" s="12">
        <f t="shared" si="0"/>
        <v>127</v>
      </c>
      <c r="D33" s="12">
        <f t="shared" si="1"/>
        <v>285</v>
      </c>
      <c r="E33" s="13">
        <f t="shared" si="2"/>
        <v>0.4456140350877193</v>
      </c>
      <c r="F33" s="14">
        <f t="shared" si="3"/>
        <v>19</v>
      </c>
      <c r="H33">
        <v>8</v>
      </c>
      <c r="I33">
        <v>7</v>
      </c>
      <c r="J33">
        <v>6</v>
      </c>
      <c r="K33">
        <v>8.5</v>
      </c>
      <c r="L33">
        <v>7</v>
      </c>
      <c r="M33">
        <v>8</v>
      </c>
      <c r="N33">
        <v>5</v>
      </c>
      <c r="O33">
        <v>10</v>
      </c>
      <c r="P33">
        <v>8</v>
      </c>
      <c r="Q33">
        <v>9</v>
      </c>
      <c r="R33">
        <v>6</v>
      </c>
      <c r="S33">
        <v>11</v>
      </c>
      <c r="T33">
        <v>10</v>
      </c>
      <c r="U33">
        <v>12</v>
      </c>
      <c r="V33">
        <v>4</v>
      </c>
      <c r="W33">
        <v>7.5</v>
      </c>
      <c r="X33" s="4">
        <f t="shared" si="4"/>
        <v>127</v>
      </c>
      <c r="Z33">
        <v>2</v>
      </c>
      <c r="AA33">
        <v>1</v>
      </c>
      <c r="AB33">
        <v>0</v>
      </c>
      <c r="AC33">
        <v>1</v>
      </c>
      <c r="AD33">
        <v>2</v>
      </c>
      <c r="AE33">
        <v>0</v>
      </c>
      <c r="AF33">
        <v>1</v>
      </c>
      <c r="AG33">
        <v>1</v>
      </c>
      <c r="AH33">
        <v>1</v>
      </c>
      <c r="AI33">
        <v>2</v>
      </c>
      <c r="AJ33">
        <v>1</v>
      </c>
      <c r="AK33">
        <v>2</v>
      </c>
      <c r="AL33">
        <v>0</v>
      </c>
      <c r="AM33">
        <v>1</v>
      </c>
      <c r="AN33">
        <v>1</v>
      </c>
      <c r="AO33">
        <v>3</v>
      </c>
      <c r="AP33" s="4">
        <f t="shared" si="5"/>
        <v>19</v>
      </c>
    </row>
    <row r="34" spans="1:42" x14ac:dyDescent="0.25">
      <c r="A34" s="1" t="s">
        <v>142</v>
      </c>
      <c r="B34" s="11" t="s">
        <v>36</v>
      </c>
      <c r="C34" s="12">
        <f t="shared" si="0"/>
        <v>125</v>
      </c>
      <c r="D34" s="12">
        <f t="shared" si="1"/>
        <v>285</v>
      </c>
      <c r="E34" s="13">
        <f t="shared" si="2"/>
        <v>0.43859649122807015</v>
      </c>
      <c r="F34" s="14">
        <f t="shared" si="3"/>
        <v>15</v>
      </c>
      <c r="H34">
        <v>4</v>
      </c>
      <c r="I34">
        <v>10</v>
      </c>
      <c r="J34">
        <v>10</v>
      </c>
      <c r="K34">
        <v>7.5</v>
      </c>
      <c r="L34">
        <v>8</v>
      </c>
      <c r="M34">
        <v>11</v>
      </c>
      <c r="N34">
        <v>9</v>
      </c>
      <c r="O34">
        <v>10</v>
      </c>
      <c r="P34">
        <v>7</v>
      </c>
      <c r="Q34">
        <v>6</v>
      </c>
      <c r="R34">
        <v>7</v>
      </c>
      <c r="S34">
        <v>6</v>
      </c>
      <c r="T34">
        <v>7</v>
      </c>
      <c r="U34">
        <v>12</v>
      </c>
      <c r="V34">
        <v>2</v>
      </c>
      <c r="W34">
        <v>8.5</v>
      </c>
      <c r="X34" s="4">
        <f t="shared" si="4"/>
        <v>125</v>
      </c>
      <c r="Z34">
        <v>0</v>
      </c>
      <c r="AA34">
        <v>1</v>
      </c>
      <c r="AB34">
        <v>1</v>
      </c>
      <c r="AC34">
        <v>1</v>
      </c>
      <c r="AD34">
        <v>1</v>
      </c>
      <c r="AE34">
        <v>0</v>
      </c>
      <c r="AF34">
        <v>1</v>
      </c>
      <c r="AG34">
        <v>2</v>
      </c>
      <c r="AH34">
        <v>1</v>
      </c>
      <c r="AI34">
        <v>1</v>
      </c>
      <c r="AJ34">
        <v>2</v>
      </c>
      <c r="AK34">
        <v>0</v>
      </c>
      <c r="AL34">
        <v>0</v>
      </c>
      <c r="AM34">
        <v>2</v>
      </c>
      <c r="AN34">
        <v>1</v>
      </c>
      <c r="AO34">
        <v>1</v>
      </c>
      <c r="AP34" s="4">
        <f t="shared" si="5"/>
        <v>15</v>
      </c>
    </row>
    <row r="35" spans="1:42" x14ac:dyDescent="0.25">
      <c r="A35" s="1" t="s">
        <v>143</v>
      </c>
      <c r="B35" s="11" t="s">
        <v>251</v>
      </c>
      <c r="C35" s="12">
        <f t="shared" si="0"/>
        <v>123</v>
      </c>
      <c r="D35" s="12">
        <f t="shared" si="1"/>
        <v>285</v>
      </c>
      <c r="E35" s="13">
        <f t="shared" si="2"/>
        <v>0.43157894736842106</v>
      </c>
      <c r="F35" s="14">
        <f t="shared" si="3"/>
        <v>17</v>
      </c>
      <c r="H35">
        <v>10</v>
      </c>
      <c r="I35">
        <v>8</v>
      </c>
      <c r="J35">
        <v>6</v>
      </c>
      <c r="K35">
        <v>10.5</v>
      </c>
      <c r="L35">
        <v>6</v>
      </c>
      <c r="M35">
        <v>9</v>
      </c>
      <c r="N35">
        <v>8</v>
      </c>
      <c r="O35">
        <v>10</v>
      </c>
      <c r="P35">
        <v>7</v>
      </c>
      <c r="Q35">
        <v>7</v>
      </c>
      <c r="R35">
        <v>6</v>
      </c>
      <c r="S35">
        <v>8</v>
      </c>
      <c r="T35">
        <v>4</v>
      </c>
      <c r="U35">
        <v>11</v>
      </c>
      <c r="V35">
        <v>4</v>
      </c>
      <c r="W35">
        <v>8.5</v>
      </c>
      <c r="X35" s="4">
        <f t="shared" si="4"/>
        <v>123</v>
      </c>
      <c r="Z35">
        <v>0</v>
      </c>
      <c r="AA35">
        <v>2</v>
      </c>
      <c r="AB35">
        <v>1</v>
      </c>
      <c r="AC35">
        <v>2</v>
      </c>
      <c r="AD35">
        <v>1</v>
      </c>
      <c r="AE35">
        <v>0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0</v>
      </c>
      <c r="AL35">
        <v>0</v>
      </c>
      <c r="AM35">
        <v>2</v>
      </c>
      <c r="AN35">
        <v>2</v>
      </c>
      <c r="AO35">
        <v>2</v>
      </c>
      <c r="AP35" s="4">
        <f t="shared" si="5"/>
        <v>17</v>
      </c>
    </row>
    <row r="36" spans="1:42" x14ac:dyDescent="0.25">
      <c r="A36" s="1" t="s">
        <v>144</v>
      </c>
      <c r="B36" s="11" t="s">
        <v>195</v>
      </c>
      <c r="C36" s="12">
        <f t="shared" si="0"/>
        <v>122</v>
      </c>
      <c r="D36" s="12">
        <f t="shared" si="1"/>
        <v>285</v>
      </c>
      <c r="E36" s="13">
        <f t="shared" si="2"/>
        <v>0.42807017543859649</v>
      </c>
      <c r="F36" s="14">
        <f t="shared" si="3"/>
        <v>13</v>
      </c>
      <c r="H36">
        <v>4</v>
      </c>
      <c r="I36">
        <v>7</v>
      </c>
      <c r="J36">
        <v>9</v>
      </c>
      <c r="K36">
        <v>7.5</v>
      </c>
      <c r="L36">
        <v>3</v>
      </c>
      <c r="M36">
        <v>12</v>
      </c>
      <c r="N36">
        <v>10</v>
      </c>
      <c r="O36">
        <v>8</v>
      </c>
      <c r="P36">
        <v>12</v>
      </c>
      <c r="Q36">
        <v>6</v>
      </c>
      <c r="R36">
        <v>7</v>
      </c>
      <c r="S36">
        <v>9</v>
      </c>
      <c r="T36">
        <v>10</v>
      </c>
      <c r="U36">
        <v>12</v>
      </c>
      <c r="V36">
        <v>4</v>
      </c>
      <c r="W36">
        <v>1.5</v>
      </c>
      <c r="X36" s="4">
        <f t="shared" si="4"/>
        <v>122</v>
      </c>
      <c r="Z36">
        <v>0</v>
      </c>
      <c r="AA36">
        <v>1</v>
      </c>
      <c r="AB36">
        <v>0</v>
      </c>
      <c r="AC36">
        <v>2</v>
      </c>
      <c r="AD36">
        <v>0</v>
      </c>
      <c r="AE36">
        <v>1</v>
      </c>
      <c r="AF36">
        <v>1</v>
      </c>
      <c r="AG36">
        <v>0</v>
      </c>
      <c r="AH36">
        <v>1</v>
      </c>
      <c r="AI36">
        <v>2</v>
      </c>
      <c r="AJ36">
        <v>0</v>
      </c>
      <c r="AK36">
        <v>2</v>
      </c>
      <c r="AL36">
        <v>1</v>
      </c>
      <c r="AM36">
        <v>1</v>
      </c>
      <c r="AN36">
        <v>1</v>
      </c>
      <c r="AO36">
        <v>0</v>
      </c>
      <c r="AP36" s="4">
        <f t="shared" si="5"/>
        <v>13</v>
      </c>
    </row>
    <row r="37" spans="1:42" x14ac:dyDescent="0.25">
      <c r="A37" s="1" t="s">
        <v>145</v>
      </c>
      <c r="B37" s="11" t="s">
        <v>194</v>
      </c>
      <c r="C37" s="12">
        <f t="shared" si="0"/>
        <v>119</v>
      </c>
      <c r="D37" s="12">
        <f t="shared" si="1"/>
        <v>285</v>
      </c>
      <c r="E37" s="13">
        <f t="shared" si="2"/>
        <v>0.41754385964912283</v>
      </c>
      <c r="F37" s="14">
        <f t="shared" si="3"/>
        <v>16.5</v>
      </c>
      <c r="H37">
        <v>5</v>
      </c>
      <c r="I37">
        <v>6</v>
      </c>
      <c r="J37">
        <v>9</v>
      </c>
      <c r="K37">
        <v>8.5</v>
      </c>
      <c r="L37">
        <v>4</v>
      </c>
      <c r="M37">
        <v>12</v>
      </c>
      <c r="N37">
        <v>9</v>
      </c>
      <c r="O37">
        <v>7</v>
      </c>
      <c r="P37">
        <v>10</v>
      </c>
      <c r="Q37">
        <v>9</v>
      </c>
      <c r="R37">
        <v>5</v>
      </c>
      <c r="S37">
        <v>9</v>
      </c>
      <c r="T37">
        <v>12</v>
      </c>
      <c r="U37">
        <v>13</v>
      </c>
      <c r="V37">
        <v>0</v>
      </c>
      <c r="W37">
        <v>0.5</v>
      </c>
      <c r="X37" s="4">
        <f t="shared" si="4"/>
        <v>119</v>
      </c>
      <c r="Z37">
        <v>1</v>
      </c>
      <c r="AA37">
        <v>0</v>
      </c>
      <c r="AB37">
        <v>1</v>
      </c>
      <c r="AC37">
        <v>1.5</v>
      </c>
      <c r="AD37">
        <v>0</v>
      </c>
      <c r="AE37">
        <v>2</v>
      </c>
      <c r="AF37">
        <v>2</v>
      </c>
      <c r="AG37">
        <v>1</v>
      </c>
      <c r="AH37">
        <v>1</v>
      </c>
      <c r="AI37">
        <v>1</v>
      </c>
      <c r="AJ37">
        <v>2</v>
      </c>
      <c r="AK37">
        <v>1</v>
      </c>
      <c r="AL37">
        <v>2</v>
      </c>
      <c r="AM37">
        <v>1</v>
      </c>
      <c r="AN37">
        <v>0</v>
      </c>
      <c r="AO37">
        <v>0</v>
      </c>
      <c r="AP37" s="4">
        <f t="shared" si="5"/>
        <v>16.5</v>
      </c>
    </row>
    <row r="38" spans="1:42" x14ac:dyDescent="0.25">
      <c r="A38" s="1" t="s">
        <v>146</v>
      </c>
      <c r="B38" s="11" t="s">
        <v>216</v>
      </c>
      <c r="C38" s="12">
        <f t="shared" si="0"/>
        <v>116</v>
      </c>
      <c r="D38" s="12">
        <f t="shared" si="1"/>
        <v>285</v>
      </c>
      <c r="E38" s="13">
        <f t="shared" si="2"/>
        <v>0.40701754385964911</v>
      </c>
      <c r="F38" s="14">
        <f t="shared" si="3"/>
        <v>14</v>
      </c>
      <c r="H38">
        <v>4</v>
      </c>
      <c r="I38">
        <v>8</v>
      </c>
      <c r="J38">
        <v>5</v>
      </c>
      <c r="K38">
        <v>7.5</v>
      </c>
      <c r="L38">
        <v>7</v>
      </c>
      <c r="M38">
        <v>11</v>
      </c>
      <c r="N38">
        <v>10</v>
      </c>
      <c r="O38">
        <v>4</v>
      </c>
      <c r="P38">
        <v>9</v>
      </c>
      <c r="Q38">
        <v>7</v>
      </c>
      <c r="R38">
        <v>4</v>
      </c>
      <c r="S38">
        <v>10</v>
      </c>
      <c r="T38">
        <v>12</v>
      </c>
      <c r="U38">
        <v>11</v>
      </c>
      <c r="V38">
        <v>1</v>
      </c>
      <c r="W38">
        <v>5.5</v>
      </c>
      <c r="X38" s="4">
        <f t="shared" si="4"/>
        <v>116</v>
      </c>
      <c r="Z38">
        <v>0</v>
      </c>
      <c r="AA38">
        <v>0</v>
      </c>
      <c r="AB38">
        <v>0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0</v>
      </c>
      <c r="AJ38">
        <v>0</v>
      </c>
      <c r="AK38">
        <v>1</v>
      </c>
      <c r="AL38">
        <v>2</v>
      </c>
      <c r="AM38">
        <v>2</v>
      </c>
      <c r="AN38">
        <v>1</v>
      </c>
      <c r="AO38">
        <v>2</v>
      </c>
      <c r="AP38" s="4">
        <f t="shared" si="5"/>
        <v>14</v>
      </c>
    </row>
    <row r="39" spans="1:42" x14ac:dyDescent="0.25">
      <c r="A39" s="1" t="s">
        <v>147</v>
      </c>
      <c r="B39" s="11" t="s">
        <v>270</v>
      </c>
      <c r="C39" s="12">
        <f t="shared" si="0"/>
        <v>116</v>
      </c>
      <c r="D39" s="12">
        <f t="shared" si="1"/>
        <v>285</v>
      </c>
      <c r="E39" s="13">
        <f t="shared" si="2"/>
        <v>0.40701754385964911</v>
      </c>
      <c r="F39" s="14">
        <f t="shared" si="3"/>
        <v>12</v>
      </c>
      <c r="H39">
        <v>6</v>
      </c>
      <c r="I39">
        <v>3</v>
      </c>
      <c r="J39">
        <v>8</v>
      </c>
      <c r="K39">
        <v>11.5</v>
      </c>
      <c r="L39">
        <v>3</v>
      </c>
      <c r="M39">
        <v>9</v>
      </c>
      <c r="N39">
        <v>9</v>
      </c>
      <c r="O39">
        <v>10</v>
      </c>
      <c r="P39">
        <v>8</v>
      </c>
      <c r="Q39">
        <v>8</v>
      </c>
      <c r="R39">
        <v>7</v>
      </c>
      <c r="S39">
        <v>11</v>
      </c>
      <c r="T39">
        <v>3</v>
      </c>
      <c r="U39">
        <v>10</v>
      </c>
      <c r="V39">
        <v>2</v>
      </c>
      <c r="W39">
        <v>7.5</v>
      </c>
      <c r="X39" s="4">
        <f t="shared" si="4"/>
        <v>116</v>
      </c>
      <c r="Z39">
        <v>0</v>
      </c>
      <c r="AA39">
        <v>0</v>
      </c>
      <c r="AB39">
        <v>0</v>
      </c>
      <c r="AC39">
        <v>2</v>
      </c>
      <c r="AD39">
        <v>0</v>
      </c>
      <c r="AE39">
        <v>2</v>
      </c>
      <c r="AF39">
        <v>1</v>
      </c>
      <c r="AG39">
        <v>1</v>
      </c>
      <c r="AH39">
        <v>1</v>
      </c>
      <c r="AI39">
        <v>0</v>
      </c>
      <c r="AJ39">
        <v>1</v>
      </c>
      <c r="AK39">
        <v>1</v>
      </c>
      <c r="AL39">
        <v>0</v>
      </c>
      <c r="AM39">
        <v>1</v>
      </c>
      <c r="AN39">
        <v>1</v>
      </c>
      <c r="AO39">
        <v>1</v>
      </c>
      <c r="AP39" s="4">
        <f t="shared" si="5"/>
        <v>12</v>
      </c>
    </row>
    <row r="40" spans="1:42" x14ac:dyDescent="0.25">
      <c r="A40" s="1" t="s">
        <v>375</v>
      </c>
      <c r="B40" s="11" t="s">
        <v>47</v>
      </c>
      <c r="C40" s="12">
        <f t="shared" si="0"/>
        <v>65.5</v>
      </c>
      <c r="D40" s="12">
        <f>$X$43-$H$43-$I$43-$J$43-$K$43-$L$43-$M$43-$N$43-$O$43</f>
        <v>139</v>
      </c>
      <c r="E40" s="13">
        <f t="shared" si="2"/>
        <v>0.47122302158273383</v>
      </c>
      <c r="F40" s="14">
        <f t="shared" si="3"/>
        <v>8</v>
      </c>
      <c r="H40" s="15" t="s">
        <v>63</v>
      </c>
      <c r="I40" s="15" t="s">
        <v>63</v>
      </c>
      <c r="J40" s="15" t="s">
        <v>63</v>
      </c>
      <c r="K40" s="15" t="s">
        <v>63</v>
      </c>
      <c r="L40" s="15" t="s">
        <v>63</v>
      </c>
      <c r="M40" s="15" t="s">
        <v>63</v>
      </c>
      <c r="N40" s="15" t="s">
        <v>63</v>
      </c>
      <c r="O40" s="15" t="s">
        <v>63</v>
      </c>
      <c r="P40">
        <v>14</v>
      </c>
      <c r="Q40">
        <v>6</v>
      </c>
      <c r="R40">
        <v>6</v>
      </c>
      <c r="S40">
        <v>11</v>
      </c>
      <c r="T40">
        <v>9</v>
      </c>
      <c r="U40">
        <v>11</v>
      </c>
      <c r="V40">
        <v>0</v>
      </c>
      <c r="W40">
        <v>8.5</v>
      </c>
      <c r="X40" s="4">
        <f t="shared" si="4"/>
        <v>65.5</v>
      </c>
      <c r="Z40" s="15" t="s">
        <v>63</v>
      </c>
      <c r="AA40" s="15" t="s">
        <v>63</v>
      </c>
      <c r="AB40" s="15" t="s">
        <v>63</v>
      </c>
      <c r="AC40" s="15" t="s">
        <v>63</v>
      </c>
      <c r="AD40" s="15" t="s">
        <v>63</v>
      </c>
      <c r="AE40" s="15" t="s">
        <v>63</v>
      </c>
      <c r="AF40" s="15" t="s">
        <v>63</v>
      </c>
      <c r="AG40" s="15" t="s">
        <v>63</v>
      </c>
      <c r="AH40">
        <v>2</v>
      </c>
      <c r="AI40">
        <v>1</v>
      </c>
      <c r="AJ40">
        <v>1</v>
      </c>
      <c r="AK40">
        <v>0</v>
      </c>
      <c r="AL40">
        <v>1</v>
      </c>
      <c r="AM40">
        <v>1</v>
      </c>
      <c r="AN40">
        <v>0</v>
      </c>
      <c r="AO40">
        <v>2</v>
      </c>
      <c r="AP40" s="4">
        <f t="shared" si="5"/>
        <v>8</v>
      </c>
    </row>
    <row r="41" spans="1:42" x14ac:dyDescent="0.25">
      <c r="B41" s="16"/>
      <c r="C41" s="17"/>
      <c r="D41" s="17"/>
      <c r="E41" s="18"/>
      <c r="F41" s="19"/>
    </row>
    <row r="42" spans="1:42" ht="15.75" thickBot="1" x14ac:dyDescent="0.3">
      <c r="B42" s="20" t="s">
        <v>106</v>
      </c>
      <c r="C42" s="21">
        <f>X42</f>
        <v>130.5</v>
      </c>
      <c r="D42" s="21">
        <f>$X$43</f>
        <v>285</v>
      </c>
      <c r="E42" s="22">
        <f>C42/D42</f>
        <v>0.45789473684210524</v>
      </c>
      <c r="F42" s="23">
        <f>AP42</f>
        <v>17.5</v>
      </c>
      <c r="H42">
        <v>7</v>
      </c>
      <c r="I42">
        <v>6</v>
      </c>
      <c r="J42">
        <v>6</v>
      </c>
      <c r="K42">
        <v>6.5</v>
      </c>
      <c r="L42">
        <v>6</v>
      </c>
      <c r="M42">
        <v>12</v>
      </c>
      <c r="N42">
        <v>9</v>
      </c>
      <c r="O42">
        <v>8</v>
      </c>
      <c r="P42">
        <v>10</v>
      </c>
      <c r="Q42">
        <v>8</v>
      </c>
      <c r="R42">
        <v>6</v>
      </c>
      <c r="S42">
        <v>11</v>
      </c>
      <c r="T42">
        <v>11</v>
      </c>
      <c r="U42">
        <v>11.5</v>
      </c>
      <c r="V42">
        <v>3</v>
      </c>
      <c r="W42">
        <v>9.5</v>
      </c>
      <c r="X42" s="4">
        <f t="shared" ref="X42" si="6">SUM(H42:W42)</f>
        <v>130.5</v>
      </c>
      <c r="Z42">
        <v>0</v>
      </c>
      <c r="AA42">
        <v>0</v>
      </c>
      <c r="AB42">
        <v>0.5</v>
      </c>
      <c r="AC42">
        <v>2</v>
      </c>
      <c r="AD42">
        <v>0</v>
      </c>
      <c r="AE42">
        <v>2</v>
      </c>
      <c r="AF42">
        <v>1</v>
      </c>
      <c r="AG42">
        <v>0.5</v>
      </c>
      <c r="AH42">
        <v>1</v>
      </c>
      <c r="AI42">
        <v>1</v>
      </c>
      <c r="AJ42">
        <v>1</v>
      </c>
      <c r="AK42">
        <v>1</v>
      </c>
      <c r="AL42">
        <v>2</v>
      </c>
      <c r="AM42">
        <v>1.5</v>
      </c>
      <c r="AN42">
        <v>2</v>
      </c>
      <c r="AO42">
        <v>2</v>
      </c>
      <c r="AP42" s="4">
        <f t="shared" ref="AP42" si="7">SUM(Z42:AO42)</f>
        <v>17.5</v>
      </c>
    </row>
    <row r="43" spans="1:42" x14ac:dyDescent="0.25">
      <c r="H43">
        <v>18</v>
      </c>
      <c r="I43">
        <v>18</v>
      </c>
      <c r="J43">
        <v>18</v>
      </c>
      <c r="K43">
        <v>18</v>
      </c>
      <c r="L43">
        <v>18</v>
      </c>
      <c r="M43">
        <v>18</v>
      </c>
      <c r="N43">
        <v>20</v>
      </c>
      <c r="O43">
        <v>18</v>
      </c>
      <c r="P43">
        <v>20</v>
      </c>
      <c r="Q43">
        <v>16</v>
      </c>
      <c r="R43">
        <v>16</v>
      </c>
      <c r="S43">
        <v>18</v>
      </c>
      <c r="T43">
        <v>18</v>
      </c>
      <c r="U43">
        <v>20</v>
      </c>
      <c r="V43">
        <v>7</v>
      </c>
      <c r="W43">
        <v>24</v>
      </c>
      <c r="X43" s="24">
        <f>SUM(H43:W43)</f>
        <v>285</v>
      </c>
    </row>
    <row r="45" spans="1:42" x14ac:dyDescent="0.25">
      <c r="B45" s="25" t="s">
        <v>64</v>
      </c>
      <c r="C45" s="12">
        <f>$X$45</f>
        <v>135</v>
      </c>
      <c r="D45" s="12">
        <f>$X$43</f>
        <v>285</v>
      </c>
      <c r="E45" s="13">
        <f>C45/D45</f>
        <v>0.47368421052631576</v>
      </c>
      <c r="F45" s="12" t="s">
        <v>63</v>
      </c>
      <c r="H45">
        <v>7</v>
      </c>
      <c r="I45">
        <v>6</v>
      </c>
      <c r="J45">
        <v>7</v>
      </c>
      <c r="K45">
        <v>8.5</v>
      </c>
      <c r="L45">
        <v>6</v>
      </c>
      <c r="M45">
        <v>12</v>
      </c>
      <c r="N45">
        <v>11</v>
      </c>
      <c r="O45">
        <v>9</v>
      </c>
      <c r="P45">
        <v>10</v>
      </c>
      <c r="Q45">
        <v>7</v>
      </c>
      <c r="R45">
        <v>7</v>
      </c>
      <c r="S45">
        <v>9</v>
      </c>
      <c r="T45">
        <v>12</v>
      </c>
      <c r="U45">
        <v>11</v>
      </c>
      <c r="V45">
        <v>3</v>
      </c>
      <c r="W45">
        <v>9.5</v>
      </c>
      <c r="X45" s="4">
        <f>SUM(H45:W45)</f>
        <v>135</v>
      </c>
    </row>
    <row r="47" spans="1:42" ht="19.5" thickBot="1" x14ac:dyDescent="0.35">
      <c r="B47" s="2" t="s">
        <v>280</v>
      </c>
      <c r="C47" s="3"/>
      <c r="D47" s="3"/>
      <c r="E47" s="3"/>
      <c r="F47" s="3"/>
    </row>
    <row r="48" spans="1:42" ht="15.75" thickBot="1" x14ac:dyDescent="0.3">
      <c r="A48" s="1">
        <v>1</v>
      </c>
      <c r="B48" s="84" t="s">
        <v>47</v>
      </c>
      <c r="C48" s="85">
        <f>D48/E48</f>
        <v>0.47122302158273383</v>
      </c>
      <c r="D48" s="86">
        <f>VLOOKUP(B48,$B$3:$F$40,2, FALSE)</f>
        <v>65.5</v>
      </c>
      <c r="E48" s="86">
        <f>VLOOKUP(B48,$B$3:$F$40,3, FALSE)</f>
        <v>139</v>
      </c>
      <c r="F48" s="87">
        <f>VLOOKUP(B48,$B$3:$F$40,5, FALSE)</f>
        <v>8</v>
      </c>
    </row>
  </sheetData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50"/>
  <sheetViews>
    <sheetView workbookViewId="0">
      <selection activeCell="H1" sqref="H1"/>
    </sheetView>
  </sheetViews>
  <sheetFormatPr defaultColWidth="8.85546875" defaultRowHeight="15" x14ac:dyDescent="0.25"/>
  <cols>
    <col min="1" max="1" width="10" style="1" bestFit="1" customWidth="1"/>
    <col min="2" max="2" width="20" bestFit="1" customWidth="1"/>
    <col min="3" max="3" width="7.42578125" style="9" bestFit="1" customWidth="1"/>
    <col min="4" max="4" width="5.42578125" style="9" bestFit="1" customWidth="1"/>
    <col min="5" max="5" width="7.140625" style="9" bestFit="1" customWidth="1"/>
    <col min="6" max="6" width="8.7109375" style="9" bestFit="1" customWidth="1"/>
    <col min="7" max="7" width="2.7109375" customWidth="1"/>
    <col min="8" max="8" width="4" bestFit="1" customWidth="1"/>
    <col min="9" max="11" width="3.5703125" bestFit="1" customWidth="1"/>
    <col min="12" max="12" width="5" bestFit="1" customWidth="1"/>
    <col min="13" max="13" width="3.5703125" bestFit="1" customWidth="1"/>
    <col min="14" max="14" width="5" bestFit="1" customWidth="1"/>
    <col min="15" max="16" width="3.5703125" bestFit="1" customWidth="1"/>
    <col min="17" max="17" width="5" bestFit="1" customWidth="1"/>
    <col min="18" max="22" width="4.5703125" bestFit="1" customWidth="1"/>
    <col min="23" max="23" width="6.28515625" bestFit="1" customWidth="1"/>
    <col min="24" max="24" width="6" style="4" bestFit="1" customWidth="1"/>
    <col min="25" max="25" width="2.7109375" customWidth="1"/>
    <col min="26" max="29" width="3" bestFit="1" customWidth="1"/>
    <col min="30" max="30" width="4" bestFit="1" customWidth="1"/>
    <col min="31" max="31" width="3" bestFit="1" customWidth="1"/>
    <col min="32" max="32" width="4" bestFit="1" customWidth="1"/>
    <col min="33" max="34" width="3" bestFit="1" customWidth="1"/>
    <col min="35" max="40" width="4" bestFit="1" customWidth="1"/>
    <col min="41" max="41" width="6.28515625" bestFit="1" customWidth="1"/>
    <col min="42" max="42" width="5.42578125" style="4" bestFit="1" customWidth="1"/>
  </cols>
  <sheetData>
    <row r="1" spans="1:42" ht="19.5" thickBot="1" x14ac:dyDescent="0.35">
      <c r="B1" s="2" t="s">
        <v>262</v>
      </c>
      <c r="C1" s="3"/>
      <c r="D1" s="3"/>
      <c r="E1" s="3"/>
      <c r="F1" s="3"/>
    </row>
    <row r="2" spans="1:42" s="9" customFormat="1" x14ac:dyDescent="0.25">
      <c r="A2" s="5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20</v>
      </c>
      <c r="X2" s="10" t="s">
        <v>2</v>
      </c>
      <c r="Z2" s="9" t="s">
        <v>21</v>
      </c>
      <c r="AA2" s="9" t="s">
        <v>22</v>
      </c>
      <c r="AB2" s="9" t="s">
        <v>23</v>
      </c>
      <c r="AC2" s="9" t="s">
        <v>24</v>
      </c>
      <c r="AD2" s="9" t="s">
        <v>25</v>
      </c>
      <c r="AE2" s="9" t="s">
        <v>26</v>
      </c>
      <c r="AF2" s="9" t="s">
        <v>27</v>
      </c>
      <c r="AG2" s="9" t="s">
        <v>28</v>
      </c>
      <c r="AH2" s="9" t="s">
        <v>29</v>
      </c>
      <c r="AI2" s="9" t="s">
        <v>30</v>
      </c>
      <c r="AJ2" s="9" t="s">
        <v>31</v>
      </c>
      <c r="AK2" s="9" t="s">
        <v>32</v>
      </c>
      <c r="AL2" s="9" t="s">
        <v>33</v>
      </c>
      <c r="AM2" s="9" t="s">
        <v>34</v>
      </c>
      <c r="AN2" s="9" t="s">
        <v>35</v>
      </c>
      <c r="AO2" s="9" t="s">
        <v>20</v>
      </c>
      <c r="AP2" s="10" t="s">
        <v>2</v>
      </c>
    </row>
    <row r="3" spans="1:42" x14ac:dyDescent="0.25">
      <c r="A3" s="1" t="s">
        <v>111</v>
      </c>
      <c r="B3" s="11" t="s">
        <v>196</v>
      </c>
      <c r="C3" s="12">
        <f t="shared" ref="C3:C40" si="0">X3</f>
        <v>165</v>
      </c>
      <c r="D3" s="12">
        <f t="shared" ref="D3:D34" si="1">$X$43</f>
        <v>310</v>
      </c>
      <c r="E3" s="13">
        <f t="shared" ref="E3:E40" si="2">C3/D3</f>
        <v>0.532258064516129</v>
      </c>
      <c r="F3" s="14">
        <f t="shared" ref="F3:F24" si="3">AP3</f>
        <v>18</v>
      </c>
      <c r="H3">
        <v>12</v>
      </c>
      <c r="I3">
        <v>6</v>
      </c>
      <c r="J3">
        <v>10</v>
      </c>
      <c r="K3">
        <v>13</v>
      </c>
      <c r="L3">
        <v>11.5</v>
      </c>
      <c r="M3">
        <v>12</v>
      </c>
      <c r="N3">
        <v>10.5</v>
      </c>
      <c r="O3">
        <v>8</v>
      </c>
      <c r="P3">
        <v>15</v>
      </c>
      <c r="Q3">
        <v>9.5</v>
      </c>
      <c r="R3">
        <v>9</v>
      </c>
      <c r="S3">
        <v>9</v>
      </c>
      <c r="T3">
        <v>10</v>
      </c>
      <c r="U3">
        <v>14</v>
      </c>
      <c r="V3">
        <v>5</v>
      </c>
      <c r="W3">
        <v>10.5</v>
      </c>
      <c r="X3" s="4">
        <f t="shared" ref="X3:X40" si="4">SUM(H3:W3)</f>
        <v>165</v>
      </c>
      <c r="Z3">
        <v>1</v>
      </c>
      <c r="AA3">
        <v>0</v>
      </c>
      <c r="AB3">
        <v>1</v>
      </c>
      <c r="AC3">
        <v>0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2</v>
      </c>
      <c r="AK3">
        <v>1</v>
      </c>
      <c r="AL3">
        <v>1</v>
      </c>
      <c r="AM3">
        <v>1</v>
      </c>
      <c r="AN3">
        <v>2</v>
      </c>
      <c r="AO3">
        <v>3</v>
      </c>
      <c r="AP3" s="4">
        <f t="shared" ref="AP3:AP40" si="5">SUM(Z3:AO3)</f>
        <v>18</v>
      </c>
    </row>
    <row r="4" spans="1:42" x14ac:dyDescent="0.25">
      <c r="A4" s="1" t="s">
        <v>112</v>
      </c>
      <c r="B4" s="11" t="s">
        <v>224</v>
      </c>
      <c r="C4" s="12">
        <f t="shared" si="0"/>
        <v>164</v>
      </c>
      <c r="D4" s="12">
        <f t="shared" si="1"/>
        <v>310</v>
      </c>
      <c r="E4" s="13">
        <f t="shared" si="2"/>
        <v>0.52903225806451615</v>
      </c>
      <c r="F4" s="14">
        <f t="shared" si="3"/>
        <v>17</v>
      </c>
      <c r="H4">
        <v>13</v>
      </c>
      <c r="I4">
        <v>10</v>
      </c>
      <c r="J4">
        <v>12</v>
      </c>
      <c r="K4">
        <v>10</v>
      </c>
      <c r="L4">
        <v>12.5</v>
      </c>
      <c r="M4">
        <v>10</v>
      </c>
      <c r="N4">
        <v>5.5</v>
      </c>
      <c r="O4">
        <v>9</v>
      </c>
      <c r="P4">
        <v>14</v>
      </c>
      <c r="Q4">
        <v>10.5</v>
      </c>
      <c r="R4">
        <v>10</v>
      </c>
      <c r="S4">
        <v>9</v>
      </c>
      <c r="T4">
        <v>9</v>
      </c>
      <c r="U4">
        <v>13</v>
      </c>
      <c r="V4">
        <v>5</v>
      </c>
      <c r="W4">
        <v>11.5</v>
      </c>
      <c r="X4" s="4">
        <f t="shared" si="4"/>
        <v>164</v>
      </c>
      <c r="Z4">
        <v>1</v>
      </c>
      <c r="AA4">
        <v>1</v>
      </c>
      <c r="AB4">
        <v>1</v>
      </c>
      <c r="AC4">
        <v>1</v>
      </c>
      <c r="AD4">
        <v>1</v>
      </c>
      <c r="AE4">
        <v>0</v>
      </c>
      <c r="AF4">
        <v>2</v>
      </c>
      <c r="AG4">
        <v>1</v>
      </c>
      <c r="AH4">
        <v>1</v>
      </c>
      <c r="AI4">
        <v>0</v>
      </c>
      <c r="AJ4">
        <v>1</v>
      </c>
      <c r="AK4">
        <v>0</v>
      </c>
      <c r="AL4">
        <v>1</v>
      </c>
      <c r="AM4">
        <v>1</v>
      </c>
      <c r="AN4">
        <v>2</v>
      </c>
      <c r="AO4">
        <v>3</v>
      </c>
      <c r="AP4" s="4">
        <f t="shared" si="5"/>
        <v>17</v>
      </c>
    </row>
    <row r="5" spans="1:42" x14ac:dyDescent="0.25">
      <c r="A5" s="1" t="s">
        <v>113</v>
      </c>
      <c r="B5" s="11" t="s">
        <v>48</v>
      </c>
      <c r="C5" s="12">
        <f t="shared" si="0"/>
        <v>161</v>
      </c>
      <c r="D5" s="12">
        <f t="shared" si="1"/>
        <v>310</v>
      </c>
      <c r="E5" s="13">
        <f t="shared" si="2"/>
        <v>0.51935483870967747</v>
      </c>
      <c r="F5" s="14">
        <f t="shared" si="3"/>
        <v>18.5</v>
      </c>
      <c r="H5">
        <v>9</v>
      </c>
      <c r="I5">
        <v>7</v>
      </c>
      <c r="J5">
        <v>12</v>
      </c>
      <c r="K5">
        <v>12</v>
      </c>
      <c r="L5">
        <v>11.5</v>
      </c>
      <c r="M5">
        <v>11</v>
      </c>
      <c r="N5">
        <v>11.5</v>
      </c>
      <c r="O5">
        <v>12</v>
      </c>
      <c r="P5">
        <v>13</v>
      </c>
      <c r="Q5">
        <v>8.5</v>
      </c>
      <c r="R5">
        <v>10</v>
      </c>
      <c r="S5">
        <v>8</v>
      </c>
      <c r="T5">
        <v>8</v>
      </c>
      <c r="U5">
        <v>11</v>
      </c>
      <c r="V5">
        <v>5</v>
      </c>
      <c r="W5">
        <v>11.5</v>
      </c>
      <c r="X5" s="4">
        <f t="shared" si="4"/>
        <v>161</v>
      </c>
      <c r="Z5">
        <v>1</v>
      </c>
      <c r="AA5">
        <v>1</v>
      </c>
      <c r="AB5">
        <v>2</v>
      </c>
      <c r="AC5">
        <v>0</v>
      </c>
      <c r="AD5">
        <v>1</v>
      </c>
      <c r="AE5">
        <v>0</v>
      </c>
      <c r="AF5">
        <v>0.5</v>
      </c>
      <c r="AG5">
        <v>2</v>
      </c>
      <c r="AH5">
        <v>1</v>
      </c>
      <c r="AI5">
        <v>1</v>
      </c>
      <c r="AJ5">
        <v>1</v>
      </c>
      <c r="AK5">
        <v>0</v>
      </c>
      <c r="AL5">
        <v>1</v>
      </c>
      <c r="AM5">
        <v>2</v>
      </c>
      <c r="AN5">
        <v>1</v>
      </c>
      <c r="AO5">
        <v>4</v>
      </c>
      <c r="AP5" s="4">
        <f t="shared" si="5"/>
        <v>18.5</v>
      </c>
    </row>
    <row r="6" spans="1:42" x14ac:dyDescent="0.25">
      <c r="A6" s="1" t="s">
        <v>114</v>
      </c>
      <c r="B6" s="11" t="s">
        <v>214</v>
      </c>
      <c r="C6" s="12">
        <f t="shared" si="0"/>
        <v>159</v>
      </c>
      <c r="D6" s="12">
        <f t="shared" si="1"/>
        <v>310</v>
      </c>
      <c r="E6" s="13">
        <f t="shared" si="2"/>
        <v>0.51290322580645165</v>
      </c>
      <c r="F6" s="14">
        <f t="shared" si="3"/>
        <v>16.5</v>
      </c>
      <c r="H6">
        <v>12</v>
      </c>
      <c r="I6">
        <v>6</v>
      </c>
      <c r="J6">
        <v>12</v>
      </c>
      <c r="K6">
        <v>8</v>
      </c>
      <c r="L6">
        <v>10.5</v>
      </c>
      <c r="M6">
        <v>7</v>
      </c>
      <c r="N6">
        <v>8.5</v>
      </c>
      <c r="O6">
        <v>10</v>
      </c>
      <c r="P6">
        <v>15</v>
      </c>
      <c r="Q6">
        <v>11.5</v>
      </c>
      <c r="R6">
        <v>9</v>
      </c>
      <c r="S6">
        <v>8</v>
      </c>
      <c r="T6">
        <v>11</v>
      </c>
      <c r="U6">
        <v>13</v>
      </c>
      <c r="V6">
        <v>6</v>
      </c>
      <c r="W6">
        <v>11.5</v>
      </c>
      <c r="X6" s="4">
        <f t="shared" si="4"/>
        <v>159</v>
      </c>
      <c r="Z6">
        <v>1</v>
      </c>
      <c r="AA6">
        <v>1</v>
      </c>
      <c r="AB6">
        <v>0</v>
      </c>
      <c r="AC6">
        <v>1</v>
      </c>
      <c r="AD6">
        <v>1</v>
      </c>
      <c r="AE6">
        <v>0</v>
      </c>
      <c r="AF6">
        <v>0.5</v>
      </c>
      <c r="AG6">
        <v>1</v>
      </c>
      <c r="AH6">
        <v>1</v>
      </c>
      <c r="AI6">
        <v>0</v>
      </c>
      <c r="AJ6">
        <v>0</v>
      </c>
      <c r="AK6">
        <v>1</v>
      </c>
      <c r="AL6">
        <v>2</v>
      </c>
      <c r="AM6">
        <v>2</v>
      </c>
      <c r="AN6">
        <v>2</v>
      </c>
      <c r="AO6">
        <v>3</v>
      </c>
      <c r="AP6" s="4">
        <f t="shared" si="5"/>
        <v>16.5</v>
      </c>
    </row>
    <row r="7" spans="1:42" x14ac:dyDescent="0.25">
      <c r="A7" s="1" t="s">
        <v>115</v>
      </c>
      <c r="B7" s="11" t="s">
        <v>50</v>
      </c>
      <c r="C7" s="12">
        <f t="shared" si="0"/>
        <v>158</v>
      </c>
      <c r="D7" s="12">
        <f t="shared" si="1"/>
        <v>310</v>
      </c>
      <c r="E7" s="13">
        <f t="shared" si="2"/>
        <v>0.50967741935483868</v>
      </c>
      <c r="F7" s="14">
        <f t="shared" si="3"/>
        <v>17</v>
      </c>
      <c r="H7">
        <v>12</v>
      </c>
      <c r="I7">
        <v>4</v>
      </c>
      <c r="J7">
        <v>12</v>
      </c>
      <c r="K7">
        <v>10</v>
      </c>
      <c r="L7">
        <v>14.5</v>
      </c>
      <c r="M7">
        <v>7</v>
      </c>
      <c r="N7">
        <v>8.5</v>
      </c>
      <c r="O7">
        <v>11</v>
      </c>
      <c r="P7">
        <v>13</v>
      </c>
      <c r="Q7">
        <v>9.5</v>
      </c>
      <c r="R7">
        <v>9</v>
      </c>
      <c r="S7">
        <v>5</v>
      </c>
      <c r="T7">
        <v>10</v>
      </c>
      <c r="U7">
        <v>13</v>
      </c>
      <c r="V7">
        <v>4</v>
      </c>
      <c r="W7">
        <v>15.5</v>
      </c>
      <c r="X7" s="4">
        <f t="shared" si="4"/>
        <v>158</v>
      </c>
      <c r="Z7">
        <v>2</v>
      </c>
      <c r="AA7">
        <v>1</v>
      </c>
      <c r="AB7">
        <v>1</v>
      </c>
      <c r="AC7">
        <v>0</v>
      </c>
      <c r="AD7">
        <v>0</v>
      </c>
      <c r="AE7">
        <v>0</v>
      </c>
      <c r="AF7">
        <v>1</v>
      </c>
      <c r="AG7">
        <v>2</v>
      </c>
      <c r="AH7">
        <v>1</v>
      </c>
      <c r="AI7">
        <v>1</v>
      </c>
      <c r="AJ7">
        <v>0</v>
      </c>
      <c r="AK7">
        <v>0</v>
      </c>
      <c r="AL7">
        <v>0</v>
      </c>
      <c r="AM7">
        <v>2</v>
      </c>
      <c r="AN7">
        <v>2</v>
      </c>
      <c r="AO7">
        <v>4</v>
      </c>
      <c r="AP7" s="4">
        <f t="shared" si="5"/>
        <v>17</v>
      </c>
    </row>
    <row r="8" spans="1:42" x14ac:dyDescent="0.25">
      <c r="A8" s="1" t="s">
        <v>116</v>
      </c>
      <c r="B8" s="11" t="s">
        <v>46</v>
      </c>
      <c r="C8" s="12">
        <f t="shared" si="0"/>
        <v>157</v>
      </c>
      <c r="D8" s="12">
        <f t="shared" si="1"/>
        <v>310</v>
      </c>
      <c r="E8" s="13">
        <f t="shared" si="2"/>
        <v>0.50645161290322582</v>
      </c>
      <c r="F8" s="14">
        <f t="shared" si="3"/>
        <v>20.5</v>
      </c>
      <c r="H8">
        <v>6</v>
      </c>
      <c r="I8">
        <v>10</v>
      </c>
      <c r="J8">
        <v>15</v>
      </c>
      <c r="K8">
        <v>7</v>
      </c>
      <c r="L8">
        <v>10.5</v>
      </c>
      <c r="M8">
        <v>8</v>
      </c>
      <c r="N8">
        <v>11.5</v>
      </c>
      <c r="O8">
        <v>10</v>
      </c>
      <c r="P8">
        <v>14</v>
      </c>
      <c r="Q8">
        <v>8.5</v>
      </c>
      <c r="R8">
        <v>7</v>
      </c>
      <c r="S8">
        <v>9</v>
      </c>
      <c r="T8">
        <v>11</v>
      </c>
      <c r="U8">
        <v>12</v>
      </c>
      <c r="V8">
        <v>5</v>
      </c>
      <c r="W8">
        <v>12.5</v>
      </c>
      <c r="X8" s="4">
        <f t="shared" si="4"/>
        <v>157</v>
      </c>
      <c r="Z8">
        <v>0</v>
      </c>
      <c r="AA8">
        <v>0</v>
      </c>
      <c r="AB8">
        <v>1</v>
      </c>
      <c r="AC8">
        <v>1</v>
      </c>
      <c r="AD8">
        <v>2</v>
      </c>
      <c r="AE8">
        <v>0</v>
      </c>
      <c r="AF8">
        <v>1</v>
      </c>
      <c r="AG8">
        <v>2</v>
      </c>
      <c r="AH8">
        <v>2</v>
      </c>
      <c r="AI8">
        <v>0.5</v>
      </c>
      <c r="AJ8">
        <v>2</v>
      </c>
      <c r="AK8">
        <v>1</v>
      </c>
      <c r="AL8">
        <v>0</v>
      </c>
      <c r="AM8">
        <v>2</v>
      </c>
      <c r="AN8">
        <v>2</v>
      </c>
      <c r="AO8">
        <v>4</v>
      </c>
      <c r="AP8" s="4">
        <f t="shared" si="5"/>
        <v>20.5</v>
      </c>
    </row>
    <row r="9" spans="1:42" x14ac:dyDescent="0.25">
      <c r="A9" s="1" t="s">
        <v>117</v>
      </c>
      <c r="B9" s="11" t="s">
        <v>44</v>
      </c>
      <c r="C9" s="12">
        <f t="shared" si="0"/>
        <v>157</v>
      </c>
      <c r="D9" s="12">
        <f t="shared" si="1"/>
        <v>310</v>
      </c>
      <c r="E9" s="13">
        <f t="shared" si="2"/>
        <v>0.50645161290322582</v>
      </c>
      <c r="F9" s="14">
        <f t="shared" si="3"/>
        <v>14.5</v>
      </c>
      <c r="H9">
        <v>11</v>
      </c>
      <c r="I9">
        <v>10</v>
      </c>
      <c r="J9">
        <v>13</v>
      </c>
      <c r="K9">
        <v>9</v>
      </c>
      <c r="L9">
        <v>11.5</v>
      </c>
      <c r="M9">
        <v>9</v>
      </c>
      <c r="N9">
        <v>9.5</v>
      </c>
      <c r="O9">
        <v>8</v>
      </c>
      <c r="P9">
        <v>13</v>
      </c>
      <c r="Q9">
        <v>10.5</v>
      </c>
      <c r="R9">
        <v>7</v>
      </c>
      <c r="S9">
        <v>7</v>
      </c>
      <c r="T9">
        <v>12</v>
      </c>
      <c r="U9">
        <v>11</v>
      </c>
      <c r="V9">
        <v>4</v>
      </c>
      <c r="W9">
        <v>11.5</v>
      </c>
      <c r="X9" s="4">
        <f t="shared" si="4"/>
        <v>157</v>
      </c>
      <c r="Z9">
        <v>0</v>
      </c>
      <c r="AA9">
        <v>1</v>
      </c>
      <c r="AB9">
        <v>1</v>
      </c>
      <c r="AC9">
        <v>1</v>
      </c>
      <c r="AD9">
        <v>1.5</v>
      </c>
      <c r="AE9">
        <v>1</v>
      </c>
      <c r="AF9">
        <v>1</v>
      </c>
      <c r="AG9">
        <v>0</v>
      </c>
      <c r="AH9">
        <v>2</v>
      </c>
      <c r="AI9">
        <v>1</v>
      </c>
      <c r="AJ9">
        <v>0</v>
      </c>
      <c r="AK9">
        <v>1</v>
      </c>
      <c r="AL9">
        <v>0</v>
      </c>
      <c r="AM9">
        <v>2</v>
      </c>
      <c r="AN9">
        <v>1</v>
      </c>
      <c r="AO9">
        <v>1</v>
      </c>
      <c r="AP9" s="4">
        <f t="shared" si="5"/>
        <v>14.5</v>
      </c>
    </row>
    <row r="10" spans="1:42" x14ac:dyDescent="0.25">
      <c r="A10" s="1" t="s">
        <v>118</v>
      </c>
      <c r="B10" s="11" t="s">
        <v>45</v>
      </c>
      <c r="C10" s="12">
        <f t="shared" si="0"/>
        <v>156</v>
      </c>
      <c r="D10" s="12">
        <f t="shared" si="1"/>
        <v>310</v>
      </c>
      <c r="E10" s="13">
        <f t="shared" si="2"/>
        <v>0.50322580645161286</v>
      </c>
      <c r="F10" s="14">
        <f t="shared" si="3"/>
        <v>14</v>
      </c>
      <c r="H10">
        <v>8</v>
      </c>
      <c r="I10">
        <v>10</v>
      </c>
      <c r="J10">
        <v>11</v>
      </c>
      <c r="K10">
        <v>12</v>
      </c>
      <c r="L10">
        <v>8.5</v>
      </c>
      <c r="M10">
        <v>7</v>
      </c>
      <c r="N10">
        <v>8.5</v>
      </c>
      <c r="O10">
        <v>12</v>
      </c>
      <c r="P10">
        <v>16</v>
      </c>
      <c r="Q10">
        <v>8.5</v>
      </c>
      <c r="R10">
        <v>8</v>
      </c>
      <c r="S10">
        <v>12</v>
      </c>
      <c r="T10">
        <v>6</v>
      </c>
      <c r="U10">
        <v>13</v>
      </c>
      <c r="V10">
        <v>4</v>
      </c>
      <c r="W10">
        <v>11.5</v>
      </c>
      <c r="X10" s="4">
        <f t="shared" si="4"/>
        <v>156</v>
      </c>
      <c r="Z10">
        <v>0</v>
      </c>
      <c r="AA10">
        <v>1</v>
      </c>
      <c r="AB10">
        <v>1</v>
      </c>
      <c r="AC10">
        <v>1</v>
      </c>
      <c r="AD10">
        <v>1</v>
      </c>
      <c r="AE10">
        <v>0</v>
      </c>
      <c r="AF10">
        <v>1</v>
      </c>
      <c r="AG10">
        <v>1</v>
      </c>
      <c r="AH10">
        <v>2</v>
      </c>
      <c r="AI10">
        <v>1</v>
      </c>
      <c r="AJ10">
        <v>1</v>
      </c>
      <c r="AK10">
        <v>0</v>
      </c>
      <c r="AL10">
        <v>0</v>
      </c>
      <c r="AM10">
        <v>1</v>
      </c>
      <c r="AN10">
        <v>1</v>
      </c>
      <c r="AO10">
        <v>2</v>
      </c>
      <c r="AP10" s="4">
        <f t="shared" si="5"/>
        <v>14</v>
      </c>
    </row>
    <row r="11" spans="1:42" x14ac:dyDescent="0.25">
      <c r="A11" s="1" t="s">
        <v>119</v>
      </c>
      <c r="B11" s="11" t="s">
        <v>212</v>
      </c>
      <c r="C11" s="12">
        <f t="shared" si="0"/>
        <v>154</v>
      </c>
      <c r="D11" s="12">
        <f t="shared" si="1"/>
        <v>310</v>
      </c>
      <c r="E11" s="13">
        <f t="shared" si="2"/>
        <v>0.49677419354838709</v>
      </c>
      <c r="F11" s="14">
        <f t="shared" si="3"/>
        <v>16</v>
      </c>
      <c r="H11">
        <v>8</v>
      </c>
      <c r="I11">
        <v>8</v>
      </c>
      <c r="J11">
        <v>10</v>
      </c>
      <c r="K11">
        <v>13</v>
      </c>
      <c r="L11">
        <v>8.5</v>
      </c>
      <c r="M11">
        <v>11</v>
      </c>
      <c r="N11">
        <v>6.5</v>
      </c>
      <c r="O11">
        <v>8</v>
      </c>
      <c r="P11">
        <v>13</v>
      </c>
      <c r="Q11">
        <v>9.5</v>
      </c>
      <c r="R11">
        <v>12</v>
      </c>
      <c r="S11">
        <v>9</v>
      </c>
      <c r="T11">
        <v>10</v>
      </c>
      <c r="U11">
        <v>11</v>
      </c>
      <c r="V11">
        <v>3</v>
      </c>
      <c r="W11">
        <v>13.5</v>
      </c>
      <c r="X11" s="4">
        <f t="shared" si="4"/>
        <v>154</v>
      </c>
      <c r="Z11">
        <v>0</v>
      </c>
      <c r="AA11">
        <v>0</v>
      </c>
      <c r="AB11">
        <v>1</v>
      </c>
      <c r="AC11">
        <v>1</v>
      </c>
      <c r="AD11">
        <v>2</v>
      </c>
      <c r="AE11">
        <v>1</v>
      </c>
      <c r="AF11">
        <v>1</v>
      </c>
      <c r="AG11">
        <v>0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0</v>
      </c>
      <c r="AN11">
        <v>1</v>
      </c>
      <c r="AO11">
        <v>4</v>
      </c>
      <c r="AP11" s="4">
        <f t="shared" si="5"/>
        <v>16</v>
      </c>
    </row>
    <row r="12" spans="1:42" x14ac:dyDescent="0.25">
      <c r="A12" s="1" t="s">
        <v>120</v>
      </c>
      <c r="B12" s="11" t="s">
        <v>41</v>
      </c>
      <c r="C12" s="12">
        <f t="shared" si="0"/>
        <v>154</v>
      </c>
      <c r="D12" s="12">
        <f t="shared" si="1"/>
        <v>310</v>
      </c>
      <c r="E12" s="13">
        <f t="shared" si="2"/>
        <v>0.49677419354838709</v>
      </c>
      <c r="F12" s="14">
        <f t="shared" si="3"/>
        <v>14.5</v>
      </c>
      <c r="H12">
        <v>6</v>
      </c>
      <c r="I12">
        <v>8</v>
      </c>
      <c r="J12">
        <v>14</v>
      </c>
      <c r="K12">
        <v>11</v>
      </c>
      <c r="L12">
        <v>11.5</v>
      </c>
      <c r="M12">
        <v>7</v>
      </c>
      <c r="N12">
        <v>7.5</v>
      </c>
      <c r="O12">
        <v>7</v>
      </c>
      <c r="P12">
        <v>11</v>
      </c>
      <c r="Q12">
        <v>6.5</v>
      </c>
      <c r="R12">
        <v>11</v>
      </c>
      <c r="S12">
        <v>8</v>
      </c>
      <c r="T12">
        <v>9</v>
      </c>
      <c r="U12">
        <v>17</v>
      </c>
      <c r="V12">
        <v>6</v>
      </c>
      <c r="W12">
        <v>13.5</v>
      </c>
      <c r="X12" s="4">
        <f t="shared" si="4"/>
        <v>154</v>
      </c>
      <c r="Z12">
        <v>0</v>
      </c>
      <c r="AA12">
        <v>1</v>
      </c>
      <c r="AB12">
        <v>0</v>
      </c>
      <c r="AC12">
        <v>1</v>
      </c>
      <c r="AD12">
        <v>2</v>
      </c>
      <c r="AE12">
        <v>0</v>
      </c>
      <c r="AF12">
        <v>0.5</v>
      </c>
      <c r="AG12">
        <v>1</v>
      </c>
      <c r="AH12">
        <v>1</v>
      </c>
      <c r="AI12">
        <v>0</v>
      </c>
      <c r="AJ12">
        <v>2</v>
      </c>
      <c r="AK12">
        <v>1</v>
      </c>
      <c r="AL12">
        <v>0</v>
      </c>
      <c r="AM12">
        <v>0</v>
      </c>
      <c r="AN12">
        <v>2</v>
      </c>
      <c r="AO12">
        <v>3</v>
      </c>
      <c r="AP12" s="4">
        <f t="shared" si="5"/>
        <v>14.5</v>
      </c>
    </row>
    <row r="13" spans="1:42" x14ac:dyDescent="0.25">
      <c r="A13" s="1" t="s">
        <v>121</v>
      </c>
      <c r="B13" s="11" t="s">
        <v>239</v>
      </c>
      <c r="C13" s="12">
        <f t="shared" si="0"/>
        <v>153.5</v>
      </c>
      <c r="D13" s="12">
        <f t="shared" si="1"/>
        <v>310</v>
      </c>
      <c r="E13" s="13">
        <f t="shared" si="2"/>
        <v>0.49516129032258066</v>
      </c>
      <c r="F13" s="14">
        <f t="shared" si="3"/>
        <v>20.5</v>
      </c>
      <c r="H13">
        <v>9</v>
      </c>
      <c r="I13">
        <v>8</v>
      </c>
      <c r="J13">
        <v>9</v>
      </c>
      <c r="K13">
        <v>13</v>
      </c>
      <c r="L13">
        <v>11.5</v>
      </c>
      <c r="M13">
        <v>11</v>
      </c>
      <c r="N13">
        <v>11.5</v>
      </c>
      <c r="O13">
        <v>8</v>
      </c>
      <c r="P13">
        <v>13</v>
      </c>
      <c r="Q13">
        <v>8.5</v>
      </c>
      <c r="R13">
        <v>9</v>
      </c>
      <c r="S13">
        <v>11</v>
      </c>
      <c r="T13">
        <v>10</v>
      </c>
      <c r="U13">
        <v>9</v>
      </c>
      <c r="V13">
        <v>3</v>
      </c>
      <c r="W13">
        <v>9</v>
      </c>
      <c r="X13" s="4">
        <f t="shared" si="4"/>
        <v>153.5</v>
      </c>
      <c r="Z13">
        <v>2</v>
      </c>
      <c r="AA13">
        <v>1</v>
      </c>
      <c r="AB13">
        <v>2</v>
      </c>
      <c r="AC13">
        <v>2</v>
      </c>
      <c r="AD13">
        <v>0</v>
      </c>
      <c r="AE13">
        <v>0</v>
      </c>
      <c r="AF13">
        <v>1.5</v>
      </c>
      <c r="AG13">
        <v>1</v>
      </c>
      <c r="AH13">
        <v>2</v>
      </c>
      <c r="AI13">
        <v>2</v>
      </c>
      <c r="AJ13">
        <v>1</v>
      </c>
      <c r="AK13">
        <v>1</v>
      </c>
      <c r="AL13">
        <v>0</v>
      </c>
      <c r="AM13">
        <v>1</v>
      </c>
      <c r="AN13">
        <v>2</v>
      </c>
      <c r="AO13">
        <v>2</v>
      </c>
      <c r="AP13" s="4">
        <f t="shared" si="5"/>
        <v>20.5</v>
      </c>
    </row>
    <row r="14" spans="1:42" x14ac:dyDescent="0.25">
      <c r="A14" s="1" t="s">
        <v>122</v>
      </c>
      <c r="B14" s="11" t="s">
        <v>54</v>
      </c>
      <c r="C14" s="12">
        <f t="shared" si="0"/>
        <v>153</v>
      </c>
      <c r="D14" s="12">
        <f t="shared" si="1"/>
        <v>310</v>
      </c>
      <c r="E14" s="13">
        <f t="shared" si="2"/>
        <v>0.49354838709677418</v>
      </c>
      <c r="F14" s="14">
        <f t="shared" si="3"/>
        <v>21</v>
      </c>
      <c r="H14">
        <v>8</v>
      </c>
      <c r="I14">
        <v>7</v>
      </c>
      <c r="J14">
        <v>13</v>
      </c>
      <c r="K14">
        <v>10</v>
      </c>
      <c r="L14">
        <v>10.5</v>
      </c>
      <c r="M14">
        <v>6</v>
      </c>
      <c r="N14">
        <v>7.5</v>
      </c>
      <c r="O14">
        <v>8</v>
      </c>
      <c r="P14">
        <v>13</v>
      </c>
      <c r="Q14">
        <v>9.5</v>
      </c>
      <c r="R14">
        <v>8</v>
      </c>
      <c r="S14">
        <v>11</v>
      </c>
      <c r="T14">
        <v>10</v>
      </c>
      <c r="U14">
        <v>14</v>
      </c>
      <c r="V14">
        <v>4</v>
      </c>
      <c r="W14">
        <v>13.5</v>
      </c>
      <c r="X14" s="4">
        <f t="shared" si="4"/>
        <v>153</v>
      </c>
      <c r="Z14">
        <v>0</v>
      </c>
      <c r="AA14">
        <v>0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2</v>
      </c>
      <c r="AH14">
        <v>2</v>
      </c>
      <c r="AI14">
        <v>1</v>
      </c>
      <c r="AJ14">
        <v>2</v>
      </c>
      <c r="AK14">
        <v>0</v>
      </c>
      <c r="AL14">
        <v>1</v>
      </c>
      <c r="AM14">
        <v>2</v>
      </c>
      <c r="AN14">
        <v>2</v>
      </c>
      <c r="AO14">
        <v>4</v>
      </c>
      <c r="AP14" s="4">
        <f t="shared" si="5"/>
        <v>21</v>
      </c>
    </row>
    <row r="15" spans="1:42" x14ac:dyDescent="0.25">
      <c r="A15" s="1" t="s">
        <v>123</v>
      </c>
      <c r="B15" s="11" t="s">
        <v>61</v>
      </c>
      <c r="C15" s="12">
        <f t="shared" si="0"/>
        <v>153</v>
      </c>
      <c r="D15" s="12">
        <f t="shared" si="1"/>
        <v>310</v>
      </c>
      <c r="E15" s="13">
        <f t="shared" si="2"/>
        <v>0.49354838709677418</v>
      </c>
      <c r="F15" s="14">
        <f t="shared" si="3"/>
        <v>18.5</v>
      </c>
      <c r="H15">
        <v>9</v>
      </c>
      <c r="I15">
        <v>7</v>
      </c>
      <c r="J15">
        <v>11</v>
      </c>
      <c r="K15">
        <v>11</v>
      </c>
      <c r="L15">
        <v>11.5</v>
      </c>
      <c r="M15">
        <v>10</v>
      </c>
      <c r="N15">
        <v>7.5</v>
      </c>
      <c r="O15">
        <v>11</v>
      </c>
      <c r="P15">
        <v>12</v>
      </c>
      <c r="Q15">
        <v>7.5</v>
      </c>
      <c r="R15">
        <v>6</v>
      </c>
      <c r="S15">
        <v>7</v>
      </c>
      <c r="T15">
        <v>10</v>
      </c>
      <c r="U15">
        <v>10</v>
      </c>
      <c r="V15">
        <v>5</v>
      </c>
      <c r="W15">
        <v>17.5</v>
      </c>
      <c r="X15" s="4">
        <f t="shared" si="4"/>
        <v>153</v>
      </c>
      <c r="Z15">
        <v>1</v>
      </c>
      <c r="AA15">
        <v>0</v>
      </c>
      <c r="AB15">
        <v>1</v>
      </c>
      <c r="AC15">
        <v>1</v>
      </c>
      <c r="AD15">
        <v>1</v>
      </c>
      <c r="AE15">
        <v>0</v>
      </c>
      <c r="AF15">
        <v>1.5</v>
      </c>
      <c r="AG15">
        <v>2</v>
      </c>
      <c r="AH15">
        <v>2</v>
      </c>
      <c r="AI15">
        <v>0</v>
      </c>
      <c r="AJ15">
        <v>1</v>
      </c>
      <c r="AK15">
        <v>0</v>
      </c>
      <c r="AL15">
        <v>0</v>
      </c>
      <c r="AM15">
        <v>1</v>
      </c>
      <c r="AN15">
        <v>2</v>
      </c>
      <c r="AO15">
        <v>5</v>
      </c>
      <c r="AP15" s="4">
        <f t="shared" si="5"/>
        <v>18.5</v>
      </c>
    </row>
    <row r="16" spans="1:42" x14ac:dyDescent="0.25">
      <c r="A16" s="1" t="s">
        <v>124</v>
      </c>
      <c r="B16" s="11" t="s">
        <v>191</v>
      </c>
      <c r="C16" s="12">
        <f t="shared" si="0"/>
        <v>153</v>
      </c>
      <c r="D16" s="12">
        <f t="shared" si="1"/>
        <v>310</v>
      </c>
      <c r="E16" s="13">
        <f t="shared" si="2"/>
        <v>0.49354838709677418</v>
      </c>
      <c r="F16" s="14">
        <f t="shared" si="3"/>
        <v>15</v>
      </c>
      <c r="H16">
        <v>5</v>
      </c>
      <c r="I16">
        <v>8</v>
      </c>
      <c r="J16">
        <v>11</v>
      </c>
      <c r="K16">
        <v>9</v>
      </c>
      <c r="L16">
        <v>9.5</v>
      </c>
      <c r="M16">
        <v>8</v>
      </c>
      <c r="N16">
        <v>7.5</v>
      </c>
      <c r="O16">
        <v>8</v>
      </c>
      <c r="P16">
        <v>14</v>
      </c>
      <c r="Q16">
        <v>11.5</v>
      </c>
      <c r="R16">
        <v>11</v>
      </c>
      <c r="S16">
        <v>10</v>
      </c>
      <c r="T16">
        <v>10</v>
      </c>
      <c r="U16">
        <v>13</v>
      </c>
      <c r="V16">
        <v>4</v>
      </c>
      <c r="W16">
        <v>13.5</v>
      </c>
      <c r="X16" s="4">
        <f t="shared" si="4"/>
        <v>153</v>
      </c>
      <c r="Z16">
        <v>2</v>
      </c>
      <c r="AA16">
        <v>0</v>
      </c>
      <c r="AB16">
        <v>0</v>
      </c>
      <c r="AC16">
        <v>1</v>
      </c>
      <c r="AD16">
        <v>1</v>
      </c>
      <c r="AE16">
        <v>0</v>
      </c>
      <c r="AF16">
        <v>1</v>
      </c>
      <c r="AG16">
        <v>0</v>
      </c>
      <c r="AH16">
        <v>1</v>
      </c>
      <c r="AI16">
        <v>1</v>
      </c>
      <c r="AJ16">
        <v>1</v>
      </c>
      <c r="AK16">
        <v>1</v>
      </c>
      <c r="AL16">
        <v>2</v>
      </c>
      <c r="AM16">
        <v>2</v>
      </c>
      <c r="AN16">
        <v>0</v>
      </c>
      <c r="AO16">
        <v>2</v>
      </c>
      <c r="AP16" s="4">
        <f t="shared" si="5"/>
        <v>15</v>
      </c>
    </row>
    <row r="17" spans="1:42" x14ac:dyDescent="0.25">
      <c r="A17" s="1" t="s">
        <v>125</v>
      </c>
      <c r="B17" s="11" t="s">
        <v>215</v>
      </c>
      <c r="C17" s="12">
        <f t="shared" si="0"/>
        <v>152</v>
      </c>
      <c r="D17" s="12">
        <f t="shared" si="1"/>
        <v>310</v>
      </c>
      <c r="E17" s="13">
        <f t="shared" si="2"/>
        <v>0.49032258064516127</v>
      </c>
      <c r="F17" s="14">
        <f t="shared" si="3"/>
        <v>21</v>
      </c>
      <c r="H17">
        <v>6</v>
      </c>
      <c r="I17">
        <v>7</v>
      </c>
      <c r="J17">
        <v>8</v>
      </c>
      <c r="K17">
        <v>10</v>
      </c>
      <c r="L17">
        <v>17.5</v>
      </c>
      <c r="M17">
        <v>9</v>
      </c>
      <c r="N17">
        <v>9.5</v>
      </c>
      <c r="O17">
        <v>9</v>
      </c>
      <c r="P17">
        <v>12</v>
      </c>
      <c r="Q17">
        <v>9.5</v>
      </c>
      <c r="R17">
        <v>9</v>
      </c>
      <c r="S17">
        <v>8</v>
      </c>
      <c r="T17">
        <v>12</v>
      </c>
      <c r="U17">
        <v>10</v>
      </c>
      <c r="V17">
        <v>4</v>
      </c>
      <c r="W17">
        <v>11.5</v>
      </c>
      <c r="X17" s="4">
        <f t="shared" si="4"/>
        <v>152</v>
      </c>
      <c r="Z17">
        <v>1</v>
      </c>
      <c r="AA17">
        <v>1</v>
      </c>
      <c r="AB17">
        <v>2</v>
      </c>
      <c r="AC17">
        <v>1</v>
      </c>
      <c r="AD17">
        <v>2</v>
      </c>
      <c r="AE17">
        <v>1</v>
      </c>
      <c r="AF17">
        <v>2</v>
      </c>
      <c r="AG17">
        <v>0</v>
      </c>
      <c r="AH17">
        <v>2</v>
      </c>
      <c r="AI17">
        <v>1</v>
      </c>
      <c r="AJ17">
        <v>1</v>
      </c>
      <c r="AK17">
        <v>1</v>
      </c>
      <c r="AL17">
        <v>1</v>
      </c>
      <c r="AM17">
        <v>2</v>
      </c>
      <c r="AN17">
        <v>1</v>
      </c>
      <c r="AO17">
        <v>2</v>
      </c>
      <c r="AP17" s="4">
        <f t="shared" si="5"/>
        <v>21</v>
      </c>
    </row>
    <row r="18" spans="1:42" x14ac:dyDescent="0.25">
      <c r="A18" s="1" t="s">
        <v>126</v>
      </c>
      <c r="B18" s="11" t="s">
        <v>40</v>
      </c>
      <c r="C18" s="12">
        <f t="shared" si="0"/>
        <v>152</v>
      </c>
      <c r="D18" s="12">
        <f t="shared" si="1"/>
        <v>310</v>
      </c>
      <c r="E18" s="13">
        <f t="shared" si="2"/>
        <v>0.49032258064516127</v>
      </c>
      <c r="F18" s="14">
        <f t="shared" si="3"/>
        <v>20</v>
      </c>
      <c r="H18">
        <v>12</v>
      </c>
      <c r="I18">
        <v>12</v>
      </c>
      <c r="J18">
        <v>10</v>
      </c>
      <c r="K18">
        <v>10</v>
      </c>
      <c r="L18">
        <v>11.5</v>
      </c>
      <c r="M18">
        <v>6</v>
      </c>
      <c r="N18">
        <v>6.5</v>
      </c>
      <c r="O18">
        <v>10</v>
      </c>
      <c r="P18">
        <v>11</v>
      </c>
      <c r="Q18">
        <v>10.5</v>
      </c>
      <c r="R18">
        <v>4</v>
      </c>
      <c r="S18">
        <v>9</v>
      </c>
      <c r="T18">
        <v>8</v>
      </c>
      <c r="U18">
        <v>14</v>
      </c>
      <c r="V18">
        <v>3</v>
      </c>
      <c r="W18">
        <v>14.5</v>
      </c>
      <c r="X18" s="4">
        <f t="shared" si="4"/>
        <v>152</v>
      </c>
      <c r="Z18">
        <v>1</v>
      </c>
      <c r="AA18">
        <v>1</v>
      </c>
      <c r="AB18">
        <v>1</v>
      </c>
      <c r="AC18">
        <v>2</v>
      </c>
      <c r="AD18">
        <v>2</v>
      </c>
      <c r="AE18">
        <v>0</v>
      </c>
      <c r="AF18">
        <v>2</v>
      </c>
      <c r="AG18">
        <v>2</v>
      </c>
      <c r="AH18">
        <v>1</v>
      </c>
      <c r="AI18">
        <v>0</v>
      </c>
      <c r="AJ18">
        <v>1</v>
      </c>
      <c r="AK18">
        <v>1</v>
      </c>
      <c r="AL18">
        <v>0</v>
      </c>
      <c r="AM18">
        <v>2</v>
      </c>
      <c r="AN18">
        <v>1</v>
      </c>
      <c r="AO18">
        <v>3</v>
      </c>
      <c r="AP18" s="4">
        <f t="shared" si="5"/>
        <v>20</v>
      </c>
    </row>
    <row r="19" spans="1:42" x14ac:dyDescent="0.25">
      <c r="A19" s="1" t="s">
        <v>127</v>
      </c>
      <c r="B19" s="11" t="s">
        <v>51</v>
      </c>
      <c r="C19" s="12">
        <f t="shared" si="0"/>
        <v>152</v>
      </c>
      <c r="D19" s="12">
        <f t="shared" si="1"/>
        <v>310</v>
      </c>
      <c r="E19" s="13">
        <f t="shared" si="2"/>
        <v>0.49032258064516127</v>
      </c>
      <c r="F19" s="14">
        <f t="shared" si="3"/>
        <v>13</v>
      </c>
      <c r="H19">
        <v>8</v>
      </c>
      <c r="I19">
        <v>7</v>
      </c>
      <c r="J19">
        <v>12</v>
      </c>
      <c r="K19">
        <v>11</v>
      </c>
      <c r="L19">
        <v>10.5</v>
      </c>
      <c r="M19">
        <v>9</v>
      </c>
      <c r="N19">
        <v>7.5</v>
      </c>
      <c r="O19">
        <v>8</v>
      </c>
      <c r="P19">
        <v>13</v>
      </c>
      <c r="Q19">
        <v>10.5</v>
      </c>
      <c r="R19">
        <v>11</v>
      </c>
      <c r="S19">
        <v>7</v>
      </c>
      <c r="T19">
        <v>10</v>
      </c>
      <c r="U19">
        <v>11</v>
      </c>
      <c r="V19">
        <v>3</v>
      </c>
      <c r="W19">
        <v>13.5</v>
      </c>
      <c r="X19" s="4">
        <f t="shared" si="4"/>
        <v>152</v>
      </c>
      <c r="Z19">
        <v>2</v>
      </c>
      <c r="AA19">
        <v>1</v>
      </c>
      <c r="AB19">
        <v>2</v>
      </c>
      <c r="AC19">
        <v>2</v>
      </c>
      <c r="AD19">
        <v>0</v>
      </c>
      <c r="AE19">
        <v>0</v>
      </c>
      <c r="AF19">
        <v>1</v>
      </c>
      <c r="AG19">
        <v>0</v>
      </c>
      <c r="AH19">
        <v>0</v>
      </c>
      <c r="AI19">
        <v>1</v>
      </c>
      <c r="AJ19">
        <v>1</v>
      </c>
      <c r="AK19">
        <v>0</v>
      </c>
      <c r="AL19">
        <v>0</v>
      </c>
      <c r="AM19">
        <v>2</v>
      </c>
      <c r="AN19">
        <v>0</v>
      </c>
      <c r="AO19">
        <v>1</v>
      </c>
      <c r="AP19" s="4">
        <f t="shared" si="5"/>
        <v>13</v>
      </c>
    </row>
    <row r="20" spans="1:42" x14ac:dyDescent="0.25">
      <c r="A20" s="1" t="s">
        <v>128</v>
      </c>
      <c r="B20" s="11" t="s">
        <v>53</v>
      </c>
      <c r="C20" s="12">
        <f t="shared" si="0"/>
        <v>151</v>
      </c>
      <c r="D20" s="12">
        <f t="shared" si="1"/>
        <v>310</v>
      </c>
      <c r="E20" s="13">
        <f t="shared" si="2"/>
        <v>0.48709677419354841</v>
      </c>
      <c r="F20" s="14">
        <f t="shared" si="3"/>
        <v>18</v>
      </c>
      <c r="H20">
        <v>11</v>
      </c>
      <c r="I20">
        <v>8</v>
      </c>
      <c r="J20">
        <v>11</v>
      </c>
      <c r="K20">
        <v>10</v>
      </c>
      <c r="L20">
        <v>11.5</v>
      </c>
      <c r="M20">
        <v>7</v>
      </c>
      <c r="N20">
        <v>9.5</v>
      </c>
      <c r="O20">
        <v>10</v>
      </c>
      <c r="P20">
        <v>12</v>
      </c>
      <c r="Q20">
        <v>11.5</v>
      </c>
      <c r="R20">
        <v>10</v>
      </c>
      <c r="S20">
        <v>7</v>
      </c>
      <c r="T20">
        <v>8</v>
      </c>
      <c r="U20">
        <v>14</v>
      </c>
      <c r="V20">
        <v>2</v>
      </c>
      <c r="W20">
        <v>8.5</v>
      </c>
      <c r="X20" s="4">
        <f t="shared" si="4"/>
        <v>151</v>
      </c>
      <c r="Z20">
        <v>1</v>
      </c>
      <c r="AA20">
        <v>1</v>
      </c>
      <c r="AB20">
        <v>2</v>
      </c>
      <c r="AC20">
        <v>2</v>
      </c>
      <c r="AD20">
        <v>1</v>
      </c>
      <c r="AE20">
        <v>1</v>
      </c>
      <c r="AF20">
        <v>0</v>
      </c>
      <c r="AG20">
        <v>2</v>
      </c>
      <c r="AH20">
        <v>2</v>
      </c>
      <c r="AI20">
        <v>0</v>
      </c>
      <c r="AJ20">
        <v>0</v>
      </c>
      <c r="AK20">
        <v>1</v>
      </c>
      <c r="AL20">
        <v>1</v>
      </c>
      <c r="AM20">
        <v>2</v>
      </c>
      <c r="AN20">
        <v>1</v>
      </c>
      <c r="AO20">
        <v>1</v>
      </c>
      <c r="AP20" s="4">
        <f t="shared" si="5"/>
        <v>18</v>
      </c>
    </row>
    <row r="21" spans="1:42" x14ac:dyDescent="0.25">
      <c r="A21" s="1" t="s">
        <v>129</v>
      </c>
      <c r="B21" s="11" t="s">
        <v>62</v>
      </c>
      <c r="C21" s="12">
        <f t="shared" si="0"/>
        <v>151</v>
      </c>
      <c r="D21" s="12">
        <f t="shared" si="1"/>
        <v>310</v>
      </c>
      <c r="E21" s="13">
        <f t="shared" si="2"/>
        <v>0.48709677419354841</v>
      </c>
      <c r="F21" s="14">
        <f t="shared" si="3"/>
        <v>13.5</v>
      </c>
      <c r="H21">
        <v>9</v>
      </c>
      <c r="I21">
        <v>7</v>
      </c>
      <c r="J21">
        <v>9</v>
      </c>
      <c r="K21">
        <v>12</v>
      </c>
      <c r="L21">
        <v>12.5</v>
      </c>
      <c r="M21">
        <v>6</v>
      </c>
      <c r="N21">
        <v>7.5</v>
      </c>
      <c r="O21">
        <v>13</v>
      </c>
      <c r="P21">
        <v>11</v>
      </c>
      <c r="Q21">
        <v>7.5</v>
      </c>
      <c r="R21">
        <v>9</v>
      </c>
      <c r="S21">
        <v>9</v>
      </c>
      <c r="T21">
        <v>8</v>
      </c>
      <c r="U21">
        <v>13</v>
      </c>
      <c r="V21">
        <v>5</v>
      </c>
      <c r="W21">
        <v>12.5</v>
      </c>
      <c r="X21" s="4">
        <f t="shared" si="4"/>
        <v>151</v>
      </c>
      <c r="Z21">
        <v>1</v>
      </c>
      <c r="AA21">
        <v>0</v>
      </c>
      <c r="AB21">
        <v>0</v>
      </c>
      <c r="AC21">
        <v>1</v>
      </c>
      <c r="AD21">
        <v>1</v>
      </c>
      <c r="AE21">
        <v>0</v>
      </c>
      <c r="AF21">
        <v>1</v>
      </c>
      <c r="AG21">
        <v>2</v>
      </c>
      <c r="AH21">
        <v>1</v>
      </c>
      <c r="AI21">
        <v>0.5</v>
      </c>
      <c r="AJ21">
        <v>0</v>
      </c>
      <c r="AK21">
        <v>1</v>
      </c>
      <c r="AL21">
        <v>0</v>
      </c>
      <c r="AM21">
        <v>1</v>
      </c>
      <c r="AN21">
        <v>2</v>
      </c>
      <c r="AO21">
        <v>2</v>
      </c>
      <c r="AP21" s="4">
        <f t="shared" si="5"/>
        <v>13.5</v>
      </c>
    </row>
    <row r="22" spans="1:42" x14ac:dyDescent="0.25">
      <c r="A22" s="1" t="s">
        <v>130</v>
      </c>
      <c r="B22" s="11" t="s">
        <v>56</v>
      </c>
      <c r="C22" s="12">
        <f t="shared" si="0"/>
        <v>150</v>
      </c>
      <c r="D22" s="12">
        <f t="shared" si="1"/>
        <v>310</v>
      </c>
      <c r="E22" s="13">
        <f t="shared" si="2"/>
        <v>0.4838709677419355</v>
      </c>
      <c r="F22" s="14">
        <f t="shared" si="3"/>
        <v>16</v>
      </c>
      <c r="H22">
        <v>8</v>
      </c>
      <c r="I22">
        <v>7</v>
      </c>
      <c r="J22">
        <v>11</v>
      </c>
      <c r="K22">
        <v>10</v>
      </c>
      <c r="L22">
        <v>13.5</v>
      </c>
      <c r="M22">
        <v>9</v>
      </c>
      <c r="N22">
        <v>10.5</v>
      </c>
      <c r="O22">
        <v>9</v>
      </c>
      <c r="P22">
        <v>10</v>
      </c>
      <c r="Q22">
        <v>9.5</v>
      </c>
      <c r="R22">
        <v>8</v>
      </c>
      <c r="S22">
        <v>10</v>
      </c>
      <c r="T22">
        <v>7</v>
      </c>
      <c r="U22">
        <v>10</v>
      </c>
      <c r="V22">
        <v>3</v>
      </c>
      <c r="W22">
        <v>14.5</v>
      </c>
      <c r="X22" s="4">
        <f t="shared" si="4"/>
        <v>150</v>
      </c>
      <c r="Z22">
        <v>1</v>
      </c>
      <c r="AA22">
        <v>1</v>
      </c>
      <c r="AB22">
        <v>2</v>
      </c>
      <c r="AC22">
        <v>0</v>
      </c>
      <c r="AD22">
        <v>2</v>
      </c>
      <c r="AE22">
        <v>1</v>
      </c>
      <c r="AF22">
        <v>1.5</v>
      </c>
      <c r="AG22">
        <v>1</v>
      </c>
      <c r="AH22">
        <v>2</v>
      </c>
      <c r="AI22">
        <v>0.5</v>
      </c>
      <c r="AJ22">
        <v>0</v>
      </c>
      <c r="AK22">
        <v>0</v>
      </c>
      <c r="AL22">
        <v>1</v>
      </c>
      <c r="AM22">
        <v>1</v>
      </c>
      <c r="AN22">
        <v>0</v>
      </c>
      <c r="AO22">
        <v>2</v>
      </c>
      <c r="AP22" s="4">
        <f t="shared" si="5"/>
        <v>16</v>
      </c>
    </row>
    <row r="23" spans="1:42" x14ac:dyDescent="0.25">
      <c r="A23" s="1" t="s">
        <v>131</v>
      </c>
      <c r="B23" s="11" t="s">
        <v>43</v>
      </c>
      <c r="C23" s="12">
        <f t="shared" si="0"/>
        <v>149</v>
      </c>
      <c r="D23" s="12">
        <f t="shared" si="1"/>
        <v>310</v>
      </c>
      <c r="E23" s="13">
        <f t="shared" si="2"/>
        <v>0.48064516129032259</v>
      </c>
      <c r="F23" s="14">
        <f t="shared" si="3"/>
        <v>17</v>
      </c>
      <c r="H23">
        <v>10</v>
      </c>
      <c r="I23">
        <v>7</v>
      </c>
      <c r="J23">
        <v>11</v>
      </c>
      <c r="K23">
        <v>12</v>
      </c>
      <c r="L23">
        <v>10.5</v>
      </c>
      <c r="M23">
        <v>7</v>
      </c>
      <c r="N23">
        <v>6.5</v>
      </c>
      <c r="O23">
        <v>9</v>
      </c>
      <c r="P23">
        <v>13</v>
      </c>
      <c r="Q23">
        <v>7.5</v>
      </c>
      <c r="R23">
        <v>11</v>
      </c>
      <c r="S23">
        <v>6</v>
      </c>
      <c r="T23">
        <v>10</v>
      </c>
      <c r="U23">
        <v>11</v>
      </c>
      <c r="V23">
        <v>3</v>
      </c>
      <c r="W23">
        <v>14.5</v>
      </c>
      <c r="X23" s="4">
        <f t="shared" si="4"/>
        <v>149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0</v>
      </c>
      <c r="AG23">
        <v>2</v>
      </c>
      <c r="AH23">
        <v>1</v>
      </c>
      <c r="AI23">
        <v>0</v>
      </c>
      <c r="AJ23">
        <v>1</v>
      </c>
      <c r="AK23">
        <v>0</v>
      </c>
      <c r="AL23">
        <v>1</v>
      </c>
      <c r="AM23">
        <v>1</v>
      </c>
      <c r="AN23">
        <v>2</v>
      </c>
      <c r="AO23">
        <v>3</v>
      </c>
      <c r="AP23" s="4">
        <f t="shared" si="5"/>
        <v>17</v>
      </c>
    </row>
    <row r="24" spans="1:42" x14ac:dyDescent="0.25">
      <c r="A24" s="1" t="s">
        <v>132</v>
      </c>
      <c r="B24" s="11" t="s">
        <v>198</v>
      </c>
      <c r="C24" s="12">
        <f t="shared" si="0"/>
        <v>149</v>
      </c>
      <c r="D24" s="12">
        <f t="shared" si="1"/>
        <v>310</v>
      </c>
      <c r="E24" s="13">
        <f t="shared" si="2"/>
        <v>0.48064516129032259</v>
      </c>
      <c r="F24" s="14">
        <f t="shared" si="3"/>
        <v>12</v>
      </c>
      <c r="H24">
        <v>7</v>
      </c>
      <c r="I24">
        <v>7</v>
      </c>
      <c r="J24">
        <v>11</v>
      </c>
      <c r="K24">
        <v>9</v>
      </c>
      <c r="L24">
        <v>11.5</v>
      </c>
      <c r="M24">
        <v>8</v>
      </c>
      <c r="N24">
        <v>9.5</v>
      </c>
      <c r="O24">
        <v>12</v>
      </c>
      <c r="P24">
        <v>13</v>
      </c>
      <c r="Q24">
        <v>9.5</v>
      </c>
      <c r="R24">
        <v>9</v>
      </c>
      <c r="S24">
        <v>8</v>
      </c>
      <c r="T24">
        <v>10</v>
      </c>
      <c r="U24">
        <v>13</v>
      </c>
      <c r="V24">
        <v>4</v>
      </c>
      <c r="W24">
        <v>7.5</v>
      </c>
      <c r="X24" s="4">
        <f t="shared" si="4"/>
        <v>149</v>
      </c>
      <c r="Z24">
        <v>1</v>
      </c>
      <c r="AA24">
        <v>0</v>
      </c>
      <c r="AB24">
        <v>2</v>
      </c>
      <c r="AC24">
        <v>1</v>
      </c>
      <c r="AD24">
        <v>1</v>
      </c>
      <c r="AE24">
        <v>0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0</v>
      </c>
      <c r="AL24">
        <v>0</v>
      </c>
      <c r="AM24">
        <v>2</v>
      </c>
      <c r="AN24">
        <v>0</v>
      </c>
      <c r="AO24">
        <v>0</v>
      </c>
      <c r="AP24" s="4">
        <f t="shared" si="5"/>
        <v>12</v>
      </c>
    </row>
    <row r="25" spans="1:42" x14ac:dyDescent="0.25">
      <c r="A25" s="1" t="s">
        <v>133</v>
      </c>
      <c r="B25" s="11" t="s">
        <v>42</v>
      </c>
      <c r="C25" s="12">
        <f t="shared" si="0"/>
        <v>148</v>
      </c>
      <c r="D25" s="12">
        <f t="shared" si="1"/>
        <v>310</v>
      </c>
      <c r="E25" s="13">
        <f t="shared" si="2"/>
        <v>0.47741935483870968</v>
      </c>
      <c r="F25" s="14" t="s">
        <v>263</v>
      </c>
      <c r="H25">
        <v>7</v>
      </c>
      <c r="I25">
        <v>8</v>
      </c>
      <c r="J25">
        <v>11</v>
      </c>
      <c r="K25">
        <v>8</v>
      </c>
      <c r="L25">
        <v>11.5</v>
      </c>
      <c r="M25">
        <v>6</v>
      </c>
      <c r="N25">
        <v>13.5</v>
      </c>
      <c r="O25">
        <v>11</v>
      </c>
      <c r="P25">
        <v>10</v>
      </c>
      <c r="Q25">
        <v>8.5</v>
      </c>
      <c r="R25">
        <v>10</v>
      </c>
      <c r="S25">
        <v>8</v>
      </c>
      <c r="T25">
        <v>8</v>
      </c>
      <c r="U25">
        <v>10</v>
      </c>
      <c r="V25">
        <v>3</v>
      </c>
      <c r="W25">
        <v>14.5</v>
      </c>
      <c r="X25" s="4">
        <f t="shared" si="4"/>
        <v>148</v>
      </c>
      <c r="Z25">
        <v>1</v>
      </c>
      <c r="AA25">
        <v>1</v>
      </c>
      <c r="AB25">
        <v>1</v>
      </c>
      <c r="AC25">
        <v>2</v>
      </c>
      <c r="AD25">
        <v>2</v>
      </c>
      <c r="AE25">
        <v>0</v>
      </c>
      <c r="AF25">
        <v>1</v>
      </c>
      <c r="AG25">
        <v>2</v>
      </c>
      <c r="AH25">
        <v>1</v>
      </c>
      <c r="AI25">
        <v>1</v>
      </c>
      <c r="AJ25">
        <v>1</v>
      </c>
      <c r="AK25">
        <v>1</v>
      </c>
      <c r="AL25">
        <v>0</v>
      </c>
      <c r="AM25">
        <v>1</v>
      </c>
      <c r="AN25">
        <v>0</v>
      </c>
      <c r="AO25">
        <v>3</v>
      </c>
      <c r="AP25" s="4">
        <f t="shared" si="5"/>
        <v>18</v>
      </c>
    </row>
    <row r="26" spans="1:42" x14ac:dyDescent="0.25">
      <c r="A26" s="1" t="s">
        <v>134</v>
      </c>
      <c r="B26" s="11" t="s">
        <v>55</v>
      </c>
      <c r="C26" s="12">
        <f t="shared" si="0"/>
        <v>148</v>
      </c>
      <c r="D26" s="12">
        <f t="shared" si="1"/>
        <v>310</v>
      </c>
      <c r="E26" s="13">
        <f t="shared" si="2"/>
        <v>0.47741935483870968</v>
      </c>
      <c r="F26" s="14" t="s">
        <v>264</v>
      </c>
      <c r="H26">
        <v>10</v>
      </c>
      <c r="I26">
        <v>7</v>
      </c>
      <c r="J26">
        <v>9</v>
      </c>
      <c r="K26">
        <v>13</v>
      </c>
      <c r="L26">
        <v>11.5</v>
      </c>
      <c r="M26">
        <v>8</v>
      </c>
      <c r="N26">
        <v>9.5</v>
      </c>
      <c r="O26">
        <v>9</v>
      </c>
      <c r="P26">
        <v>10</v>
      </c>
      <c r="Q26">
        <v>7.5</v>
      </c>
      <c r="R26">
        <v>8</v>
      </c>
      <c r="S26">
        <v>8</v>
      </c>
      <c r="T26">
        <v>10</v>
      </c>
      <c r="U26">
        <v>11</v>
      </c>
      <c r="V26">
        <v>4</v>
      </c>
      <c r="W26">
        <v>12.5</v>
      </c>
      <c r="X26" s="4">
        <f t="shared" si="4"/>
        <v>148</v>
      </c>
      <c r="Z26">
        <v>2</v>
      </c>
      <c r="AA26">
        <v>1</v>
      </c>
      <c r="AB26">
        <v>1</v>
      </c>
      <c r="AC26">
        <v>0</v>
      </c>
      <c r="AD26">
        <v>1</v>
      </c>
      <c r="AE26">
        <v>1</v>
      </c>
      <c r="AF26">
        <v>0</v>
      </c>
      <c r="AG26">
        <v>2</v>
      </c>
      <c r="AH26">
        <v>1</v>
      </c>
      <c r="AI26">
        <v>2</v>
      </c>
      <c r="AJ26">
        <v>1</v>
      </c>
      <c r="AK26">
        <v>0</v>
      </c>
      <c r="AL26">
        <v>1</v>
      </c>
      <c r="AM26">
        <v>1</v>
      </c>
      <c r="AN26">
        <v>1</v>
      </c>
      <c r="AO26">
        <v>3</v>
      </c>
      <c r="AP26" s="4">
        <f t="shared" si="5"/>
        <v>18</v>
      </c>
    </row>
    <row r="27" spans="1:42" x14ac:dyDescent="0.25">
      <c r="A27" s="1" t="s">
        <v>135</v>
      </c>
      <c r="B27" s="11" t="s">
        <v>194</v>
      </c>
      <c r="C27" s="12">
        <f t="shared" si="0"/>
        <v>148</v>
      </c>
      <c r="D27" s="12">
        <f t="shared" si="1"/>
        <v>310</v>
      </c>
      <c r="E27" s="13">
        <f t="shared" si="2"/>
        <v>0.47741935483870968</v>
      </c>
      <c r="F27" s="14">
        <f t="shared" ref="F27:F40" si="6">AP27</f>
        <v>15</v>
      </c>
      <c r="H27">
        <v>8</v>
      </c>
      <c r="I27">
        <v>7</v>
      </c>
      <c r="J27">
        <v>12</v>
      </c>
      <c r="K27">
        <v>10</v>
      </c>
      <c r="L27">
        <v>9.5</v>
      </c>
      <c r="M27">
        <v>8</v>
      </c>
      <c r="N27">
        <v>3.5</v>
      </c>
      <c r="O27">
        <v>11</v>
      </c>
      <c r="P27">
        <v>14</v>
      </c>
      <c r="Q27">
        <v>8.5</v>
      </c>
      <c r="R27">
        <v>10</v>
      </c>
      <c r="S27">
        <v>7</v>
      </c>
      <c r="T27">
        <v>10</v>
      </c>
      <c r="U27">
        <v>12</v>
      </c>
      <c r="V27">
        <v>3</v>
      </c>
      <c r="W27">
        <v>14.5</v>
      </c>
      <c r="X27" s="4">
        <f t="shared" si="4"/>
        <v>148</v>
      </c>
      <c r="Z27">
        <v>0</v>
      </c>
      <c r="AA27">
        <v>1</v>
      </c>
      <c r="AB27">
        <v>2</v>
      </c>
      <c r="AC27">
        <v>1</v>
      </c>
      <c r="AD27">
        <v>1</v>
      </c>
      <c r="AE27">
        <v>1</v>
      </c>
      <c r="AF27">
        <v>0</v>
      </c>
      <c r="AG27">
        <v>0</v>
      </c>
      <c r="AH27">
        <v>2</v>
      </c>
      <c r="AI27">
        <v>0</v>
      </c>
      <c r="AJ27">
        <v>0</v>
      </c>
      <c r="AK27">
        <v>1</v>
      </c>
      <c r="AL27">
        <v>1</v>
      </c>
      <c r="AM27">
        <v>1</v>
      </c>
      <c r="AN27">
        <v>1</v>
      </c>
      <c r="AO27">
        <v>3</v>
      </c>
      <c r="AP27" s="4">
        <f t="shared" si="5"/>
        <v>15</v>
      </c>
    </row>
    <row r="28" spans="1:42" x14ac:dyDescent="0.25">
      <c r="A28" s="1" t="s">
        <v>136</v>
      </c>
      <c r="B28" s="11" t="s">
        <v>216</v>
      </c>
      <c r="C28" s="12">
        <f t="shared" si="0"/>
        <v>145</v>
      </c>
      <c r="D28" s="12">
        <f t="shared" si="1"/>
        <v>310</v>
      </c>
      <c r="E28" s="13">
        <f t="shared" si="2"/>
        <v>0.46774193548387094</v>
      </c>
      <c r="F28" s="14">
        <f t="shared" si="6"/>
        <v>18.5</v>
      </c>
      <c r="H28">
        <v>11</v>
      </c>
      <c r="I28">
        <v>7</v>
      </c>
      <c r="J28">
        <v>9</v>
      </c>
      <c r="K28">
        <v>8</v>
      </c>
      <c r="L28">
        <v>8.5</v>
      </c>
      <c r="M28">
        <v>11</v>
      </c>
      <c r="N28">
        <v>10.5</v>
      </c>
      <c r="O28">
        <v>9</v>
      </c>
      <c r="P28">
        <v>15</v>
      </c>
      <c r="Q28">
        <v>9.5</v>
      </c>
      <c r="R28">
        <v>9</v>
      </c>
      <c r="S28">
        <v>9</v>
      </c>
      <c r="T28">
        <v>9</v>
      </c>
      <c r="U28">
        <v>5</v>
      </c>
      <c r="V28">
        <v>6</v>
      </c>
      <c r="W28">
        <v>8.5</v>
      </c>
      <c r="X28" s="4">
        <f t="shared" si="4"/>
        <v>145</v>
      </c>
      <c r="Z28">
        <v>2</v>
      </c>
      <c r="AA28">
        <v>1</v>
      </c>
      <c r="AB28">
        <v>2</v>
      </c>
      <c r="AC28">
        <v>1</v>
      </c>
      <c r="AD28">
        <v>2</v>
      </c>
      <c r="AE28">
        <v>1</v>
      </c>
      <c r="AF28">
        <v>1.5</v>
      </c>
      <c r="AG28">
        <v>1</v>
      </c>
      <c r="AH28">
        <v>1</v>
      </c>
      <c r="AI28">
        <v>0</v>
      </c>
      <c r="AJ28">
        <v>1</v>
      </c>
      <c r="AK28">
        <v>0</v>
      </c>
      <c r="AL28">
        <v>0</v>
      </c>
      <c r="AM28">
        <v>0</v>
      </c>
      <c r="AN28">
        <v>2</v>
      </c>
      <c r="AO28">
        <v>3</v>
      </c>
      <c r="AP28" s="4">
        <f t="shared" si="5"/>
        <v>18.5</v>
      </c>
    </row>
    <row r="29" spans="1:42" x14ac:dyDescent="0.25">
      <c r="A29" s="1" t="s">
        <v>137</v>
      </c>
      <c r="B29" s="11" t="s">
        <v>251</v>
      </c>
      <c r="C29" s="12">
        <f t="shared" si="0"/>
        <v>145</v>
      </c>
      <c r="D29" s="12">
        <f t="shared" si="1"/>
        <v>310</v>
      </c>
      <c r="E29" s="13">
        <f t="shared" si="2"/>
        <v>0.46774193548387094</v>
      </c>
      <c r="F29" s="14">
        <f t="shared" si="6"/>
        <v>16</v>
      </c>
      <c r="H29">
        <v>4</v>
      </c>
      <c r="I29">
        <v>9</v>
      </c>
      <c r="J29">
        <v>8</v>
      </c>
      <c r="K29">
        <v>8</v>
      </c>
      <c r="L29">
        <v>12.5</v>
      </c>
      <c r="M29">
        <v>7</v>
      </c>
      <c r="N29">
        <v>9.5</v>
      </c>
      <c r="O29">
        <v>12</v>
      </c>
      <c r="P29">
        <v>12</v>
      </c>
      <c r="Q29">
        <v>10.5</v>
      </c>
      <c r="R29">
        <v>6</v>
      </c>
      <c r="S29">
        <v>9</v>
      </c>
      <c r="T29">
        <v>9</v>
      </c>
      <c r="U29">
        <v>11</v>
      </c>
      <c r="V29">
        <v>5</v>
      </c>
      <c r="W29">
        <v>12.5</v>
      </c>
      <c r="X29" s="4">
        <f t="shared" si="4"/>
        <v>145</v>
      </c>
      <c r="Z29">
        <v>1</v>
      </c>
      <c r="AA29">
        <v>0</v>
      </c>
      <c r="AB29">
        <v>1</v>
      </c>
      <c r="AC29">
        <v>0</v>
      </c>
      <c r="AD29">
        <v>2</v>
      </c>
      <c r="AE29">
        <v>0</v>
      </c>
      <c r="AF29">
        <v>1</v>
      </c>
      <c r="AG29">
        <v>1</v>
      </c>
      <c r="AH29">
        <v>2</v>
      </c>
      <c r="AI29">
        <v>1</v>
      </c>
      <c r="AJ29">
        <v>0</v>
      </c>
      <c r="AK29">
        <v>0</v>
      </c>
      <c r="AL29">
        <v>1</v>
      </c>
      <c r="AM29">
        <v>2</v>
      </c>
      <c r="AN29">
        <v>2</v>
      </c>
      <c r="AO29">
        <v>2</v>
      </c>
      <c r="AP29" s="4">
        <f t="shared" si="5"/>
        <v>16</v>
      </c>
    </row>
    <row r="30" spans="1:42" x14ac:dyDescent="0.25">
      <c r="A30" s="1" t="s">
        <v>138</v>
      </c>
      <c r="B30" s="11" t="s">
        <v>52</v>
      </c>
      <c r="C30" s="12">
        <f t="shared" si="0"/>
        <v>145</v>
      </c>
      <c r="D30" s="12">
        <f t="shared" si="1"/>
        <v>310</v>
      </c>
      <c r="E30" s="13">
        <f t="shared" si="2"/>
        <v>0.46774193548387094</v>
      </c>
      <c r="F30" s="14">
        <f t="shared" si="6"/>
        <v>13</v>
      </c>
      <c r="H30">
        <v>9</v>
      </c>
      <c r="I30">
        <v>6</v>
      </c>
      <c r="J30">
        <v>12</v>
      </c>
      <c r="K30">
        <v>9</v>
      </c>
      <c r="L30">
        <v>10.5</v>
      </c>
      <c r="M30">
        <v>7</v>
      </c>
      <c r="N30">
        <v>7.5</v>
      </c>
      <c r="O30">
        <v>9</v>
      </c>
      <c r="P30">
        <v>12</v>
      </c>
      <c r="Q30">
        <v>9.5</v>
      </c>
      <c r="R30">
        <v>10</v>
      </c>
      <c r="S30">
        <v>8</v>
      </c>
      <c r="T30">
        <v>8</v>
      </c>
      <c r="U30">
        <v>12</v>
      </c>
      <c r="V30">
        <v>2</v>
      </c>
      <c r="W30">
        <v>13.5</v>
      </c>
      <c r="X30" s="4">
        <f t="shared" si="4"/>
        <v>145</v>
      </c>
      <c r="Z30">
        <v>1</v>
      </c>
      <c r="AA30">
        <v>1</v>
      </c>
      <c r="AB30">
        <v>0</v>
      </c>
      <c r="AC30">
        <v>0</v>
      </c>
      <c r="AD30">
        <v>1</v>
      </c>
      <c r="AE30">
        <v>0</v>
      </c>
      <c r="AF30">
        <v>2</v>
      </c>
      <c r="AG30">
        <v>1</v>
      </c>
      <c r="AH30">
        <v>1</v>
      </c>
      <c r="AI30">
        <v>0</v>
      </c>
      <c r="AJ30">
        <v>1</v>
      </c>
      <c r="AK30">
        <v>1</v>
      </c>
      <c r="AL30">
        <v>0</v>
      </c>
      <c r="AM30">
        <v>1</v>
      </c>
      <c r="AN30">
        <v>0</v>
      </c>
      <c r="AO30">
        <v>3</v>
      </c>
      <c r="AP30" s="4">
        <f t="shared" si="5"/>
        <v>13</v>
      </c>
    </row>
    <row r="31" spans="1:42" x14ac:dyDescent="0.25">
      <c r="A31" s="1" t="s">
        <v>139</v>
      </c>
      <c r="B31" s="11" t="s">
        <v>59</v>
      </c>
      <c r="C31" s="12">
        <f t="shared" si="0"/>
        <v>141</v>
      </c>
      <c r="D31" s="12">
        <f t="shared" si="1"/>
        <v>310</v>
      </c>
      <c r="E31" s="13">
        <f t="shared" si="2"/>
        <v>0.45483870967741935</v>
      </c>
      <c r="F31" s="14">
        <f t="shared" si="6"/>
        <v>19</v>
      </c>
      <c r="H31">
        <v>5</v>
      </c>
      <c r="I31">
        <v>11</v>
      </c>
      <c r="J31">
        <v>7</v>
      </c>
      <c r="K31">
        <v>10</v>
      </c>
      <c r="L31">
        <v>14.5</v>
      </c>
      <c r="M31">
        <v>11</v>
      </c>
      <c r="N31">
        <v>9.5</v>
      </c>
      <c r="O31">
        <v>5</v>
      </c>
      <c r="P31">
        <v>9</v>
      </c>
      <c r="Q31">
        <v>9.5</v>
      </c>
      <c r="R31">
        <v>9</v>
      </c>
      <c r="S31">
        <v>7</v>
      </c>
      <c r="T31">
        <v>11</v>
      </c>
      <c r="U31">
        <v>10</v>
      </c>
      <c r="V31">
        <v>4</v>
      </c>
      <c r="W31">
        <v>8.5</v>
      </c>
      <c r="X31" s="4">
        <f t="shared" si="4"/>
        <v>141</v>
      </c>
      <c r="Z31">
        <v>1</v>
      </c>
      <c r="AA31">
        <v>2</v>
      </c>
      <c r="AB31">
        <v>0</v>
      </c>
      <c r="AC31">
        <v>1</v>
      </c>
      <c r="AD31">
        <v>1</v>
      </c>
      <c r="AE31">
        <v>0</v>
      </c>
      <c r="AF31">
        <v>0</v>
      </c>
      <c r="AG31">
        <v>1</v>
      </c>
      <c r="AH31">
        <v>2</v>
      </c>
      <c r="AI31">
        <v>0</v>
      </c>
      <c r="AJ31">
        <v>1</v>
      </c>
      <c r="AK31">
        <v>1</v>
      </c>
      <c r="AL31">
        <v>2</v>
      </c>
      <c r="AM31">
        <v>2</v>
      </c>
      <c r="AN31">
        <v>1</v>
      </c>
      <c r="AO31">
        <v>4</v>
      </c>
      <c r="AP31" s="4">
        <f t="shared" si="5"/>
        <v>19</v>
      </c>
    </row>
    <row r="32" spans="1:42" x14ac:dyDescent="0.25">
      <c r="A32" s="1" t="s">
        <v>140</v>
      </c>
      <c r="B32" s="11" t="s">
        <v>36</v>
      </c>
      <c r="C32" s="12">
        <f t="shared" si="0"/>
        <v>141</v>
      </c>
      <c r="D32" s="12">
        <f t="shared" si="1"/>
        <v>310</v>
      </c>
      <c r="E32" s="13">
        <f t="shared" si="2"/>
        <v>0.45483870967741935</v>
      </c>
      <c r="F32" s="14">
        <f t="shared" si="6"/>
        <v>12</v>
      </c>
      <c r="H32">
        <v>8</v>
      </c>
      <c r="I32">
        <v>8</v>
      </c>
      <c r="J32">
        <v>12</v>
      </c>
      <c r="K32">
        <v>11</v>
      </c>
      <c r="L32">
        <v>10.5</v>
      </c>
      <c r="M32">
        <v>8</v>
      </c>
      <c r="N32">
        <v>6.5</v>
      </c>
      <c r="O32">
        <v>11</v>
      </c>
      <c r="P32">
        <v>10</v>
      </c>
      <c r="Q32">
        <v>9.5</v>
      </c>
      <c r="R32">
        <v>10</v>
      </c>
      <c r="S32">
        <v>7</v>
      </c>
      <c r="T32">
        <v>8</v>
      </c>
      <c r="U32">
        <v>11</v>
      </c>
      <c r="V32">
        <v>2</v>
      </c>
      <c r="W32">
        <v>8.5</v>
      </c>
      <c r="X32" s="4">
        <f t="shared" si="4"/>
        <v>141</v>
      </c>
      <c r="Z32">
        <v>1</v>
      </c>
      <c r="AA32">
        <v>0</v>
      </c>
      <c r="AB32">
        <v>2</v>
      </c>
      <c r="AC32">
        <v>1</v>
      </c>
      <c r="AD32">
        <v>2</v>
      </c>
      <c r="AE32">
        <v>0</v>
      </c>
      <c r="AF32">
        <v>0</v>
      </c>
      <c r="AG32">
        <v>0</v>
      </c>
      <c r="AH32">
        <v>1</v>
      </c>
      <c r="AI32">
        <v>1</v>
      </c>
      <c r="AJ32">
        <v>1</v>
      </c>
      <c r="AK32">
        <v>0</v>
      </c>
      <c r="AL32">
        <v>0</v>
      </c>
      <c r="AM32">
        <v>2</v>
      </c>
      <c r="AN32">
        <v>0</v>
      </c>
      <c r="AO32">
        <v>1</v>
      </c>
      <c r="AP32" s="4">
        <f t="shared" si="5"/>
        <v>12</v>
      </c>
    </row>
    <row r="33" spans="1:42" x14ac:dyDescent="0.25">
      <c r="A33" s="1" t="s">
        <v>141</v>
      </c>
      <c r="B33" s="11" t="s">
        <v>39</v>
      </c>
      <c r="C33" s="12">
        <f t="shared" si="0"/>
        <v>139</v>
      </c>
      <c r="D33" s="12">
        <f t="shared" si="1"/>
        <v>310</v>
      </c>
      <c r="E33" s="13">
        <f t="shared" si="2"/>
        <v>0.44838709677419353</v>
      </c>
      <c r="F33" s="14">
        <f t="shared" si="6"/>
        <v>12</v>
      </c>
      <c r="H33">
        <v>11</v>
      </c>
      <c r="I33">
        <v>8</v>
      </c>
      <c r="J33">
        <v>11</v>
      </c>
      <c r="K33">
        <v>13</v>
      </c>
      <c r="L33">
        <v>8.5</v>
      </c>
      <c r="M33">
        <v>11</v>
      </c>
      <c r="N33">
        <v>4.5</v>
      </c>
      <c r="O33">
        <v>7</v>
      </c>
      <c r="P33">
        <v>12</v>
      </c>
      <c r="Q33">
        <v>6.5</v>
      </c>
      <c r="R33">
        <v>7</v>
      </c>
      <c r="S33">
        <v>9</v>
      </c>
      <c r="T33">
        <v>10</v>
      </c>
      <c r="U33">
        <v>6</v>
      </c>
      <c r="V33">
        <v>6</v>
      </c>
      <c r="W33">
        <v>8.5</v>
      </c>
      <c r="X33" s="4">
        <f t="shared" si="4"/>
        <v>139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0</v>
      </c>
      <c r="AM33">
        <v>1</v>
      </c>
      <c r="AN33">
        <v>0</v>
      </c>
      <c r="AO33">
        <v>4</v>
      </c>
      <c r="AP33" s="4">
        <f t="shared" si="5"/>
        <v>12</v>
      </c>
    </row>
    <row r="34" spans="1:42" x14ac:dyDescent="0.25">
      <c r="A34" s="1" t="s">
        <v>142</v>
      </c>
      <c r="B34" s="11" t="s">
        <v>241</v>
      </c>
      <c r="C34" s="12">
        <f t="shared" si="0"/>
        <v>137</v>
      </c>
      <c r="D34" s="12">
        <f t="shared" si="1"/>
        <v>310</v>
      </c>
      <c r="E34" s="13">
        <f t="shared" si="2"/>
        <v>0.44193548387096776</v>
      </c>
      <c r="F34" s="14">
        <f t="shared" si="6"/>
        <v>16</v>
      </c>
      <c r="H34">
        <v>7</v>
      </c>
      <c r="I34">
        <v>6</v>
      </c>
      <c r="J34">
        <v>11</v>
      </c>
      <c r="K34">
        <v>9</v>
      </c>
      <c r="L34">
        <v>10.5</v>
      </c>
      <c r="M34">
        <v>7</v>
      </c>
      <c r="N34">
        <v>9.5</v>
      </c>
      <c r="O34">
        <v>10</v>
      </c>
      <c r="P34">
        <v>11</v>
      </c>
      <c r="Q34">
        <v>9.5</v>
      </c>
      <c r="R34">
        <v>10</v>
      </c>
      <c r="S34">
        <v>7</v>
      </c>
      <c r="T34">
        <v>6</v>
      </c>
      <c r="U34">
        <v>12</v>
      </c>
      <c r="V34">
        <v>5</v>
      </c>
      <c r="W34">
        <v>6.5</v>
      </c>
      <c r="X34" s="4">
        <f t="shared" si="4"/>
        <v>137</v>
      </c>
      <c r="Z34">
        <v>1</v>
      </c>
      <c r="AA34">
        <v>0</v>
      </c>
      <c r="AB34">
        <v>0</v>
      </c>
      <c r="AC34">
        <v>2</v>
      </c>
      <c r="AD34">
        <v>2</v>
      </c>
      <c r="AE34">
        <v>2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0</v>
      </c>
      <c r="AM34">
        <v>2</v>
      </c>
      <c r="AN34">
        <v>1</v>
      </c>
      <c r="AO34">
        <v>0</v>
      </c>
      <c r="AP34" s="4">
        <f t="shared" si="5"/>
        <v>16</v>
      </c>
    </row>
    <row r="35" spans="1:42" x14ac:dyDescent="0.25">
      <c r="A35" s="1" t="s">
        <v>372</v>
      </c>
      <c r="B35" s="11" t="s">
        <v>195</v>
      </c>
      <c r="C35" s="12">
        <f t="shared" si="0"/>
        <v>136</v>
      </c>
      <c r="D35" s="12">
        <f>$X$43-$H$43-$I$43</f>
        <v>270</v>
      </c>
      <c r="E35" s="13">
        <f t="shared" si="2"/>
        <v>0.50370370370370365</v>
      </c>
      <c r="F35" s="14">
        <f t="shared" si="6"/>
        <v>19</v>
      </c>
      <c r="H35" s="15" t="s">
        <v>63</v>
      </c>
      <c r="I35" s="15" t="s">
        <v>63</v>
      </c>
      <c r="J35">
        <v>12</v>
      </c>
      <c r="K35">
        <v>10</v>
      </c>
      <c r="L35">
        <v>10.5</v>
      </c>
      <c r="M35">
        <v>6</v>
      </c>
      <c r="N35">
        <v>10.5</v>
      </c>
      <c r="O35">
        <v>9</v>
      </c>
      <c r="P35">
        <v>14</v>
      </c>
      <c r="Q35">
        <v>7.5</v>
      </c>
      <c r="R35">
        <v>9</v>
      </c>
      <c r="S35">
        <v>8</v>
      </c>
      <c r="T35">
        <v>8</v>
      </c>
      <c r="U35">
        <v>12</v>
      </c>
      <c r="V35">
        <v>4</v>
      </c>
      <c r="W35">
        <v>15.5</v>
      </c>
      <c r="X35" s="4">
        <f t="shared" si="4"/>
        <v>136</v>
      </c>
      <c r="Z35" s="15" t="s">
        <v>63</v>
      </c>
      <c r="AA35" s="15" t="s">
        <v>63</v>
      </c>
      <c r="AB35">
        <v>2</v>
      </c>
      <c r="AC35">
        <v>1</v>
      </c>
      <c r="AD35">
        <v>1</v>
      </c>
      <c r="AE35">
        <v>1</v>
      </c>
      <c r="AF35">
        <v>0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2</v>
      </c>
      <c r="AO35">
        <v>5</v>
      </c>
      <c r="AP35" s="4">
        <f t="shared" si="5"/>
        <v>19</v>
      </c>
    </row>
    <row r="36" spans="1:42" x14ac:dyDescent="0.25">
      <c r="A36" s="1" t="s">
        <v>373</v>
      </c>
      <c r="B36" s="11" t="s">
        <v>253</v>
      </c>
      <c r="C36" s="12">
        <f t="shared" si="0"/>
        <v>136</v>
      </c>
      <c r="D36" s="12">
        <f>$X$43-$H$43-$I$43</f>
        <v>270</v>
      </c>
      <c r="E36" s="13">
        <f t="shared" si="2"/>
        <v>0.50370370370370365</v>
      </c>
      <c r="F36" s="14">
        <f t="shared" si="6"/>
        <v>17</v>
      </c>
      <c r="H36" s="15" t="s">
        <v>63</v>
      </c>
      <c r="I36" s="15" t="s">
        <v>63</v>
      </c>
      <c r="J36">
        <v>7</v>
      </c>
      <c r="K36">
        <v>10</v>
      </c>
      <c r="L36">
        <v>11.5</v>
      </c>
      <c r="M36">
        <v>12</v>
      </c>
      <c r="N36">
        <v>13.5</v>
      </c>
      <c r="O36">
        <v>9</v>
      </c>
      <c r="P36">
        <v>14</v>
      </c>
      <c r="Q36">
        <v>7.5</v>
      </c>
      <c r="R36">
        <v>7</v>
      </c>
      <c r="S36">
        <v>11</v>
      </c>
      <c r="T36">
        <v>9</v>
      </c>
      <c r="U36">
        <v>7</v>
      </c>
      <c r="V36">
        <v>3</v>
      </c>
      <c r="W36">
        <v>14.5</v>
      </c>
      <c r="X36" s="4">
        <f t="shared" si="4"/>
        <v>136</v>
      </c>
      <c r="Z36" s="15" t="s">
        <v>63</v>
      </c>
      <c r="AA36" s="15" t="s">
        <v>63</v>
      </c>
      <c r="AB36">
        <v>1</v>
      </c>
      <c r="AC36">
        <v>2</v>
      </c>
      <c r="AD36">
        <v>2</v>
      </c>
      <c r="AE36">
        <v>2</v>
      </c>
      <c r="AF36">
        <v>2</v>
      </c>
      <c r="AG36">
        <v>1</v>
      </c>
      <c r="AH36">
        <v>0</v>
      </c>
      <c r="AI36">
        <v>1</v>
      </c>
      <c r="AJ36">
        <v>1</v>
      </c>
      <c r="AK36">
        <v>1</v>
      </c>
      <c r="AL36">
        <v>0</v>
      </c>
      <c r="AM36">
        <v>1</v>
      </c>
      <c r="AN36">
        <v>1</v>
      </c>
      <c r="AO36">
        <v>2</v>
      </c>
      <c r="AP36" s="4">
        <f t="shared" si="5"/>
        <v>17</v>
      </c>
    </row>
    <row r="37" spans="1:42" x14ac:dyDescent="0.25">
      <c r="A37" s="1" t="s">
        <v>145</v>
      </c>
      <c r="B37" s="11" t="s">
        <v>60</v>
      </c>
      <c r="C37" s="12">
        <f t="shared" si="0"/>
        <v>129</v>
      </c>
      <c r="D37" s="12">
        <f>$X$43</f>
        <v>310</v>
      </c>
      <c r="E37" s="13">
        <f t="shared" si="2"/>
        <v>0.41612903225806452</v>
      </c>
      <c r="F37" s="14">
        <f t="shared" si="6"/>
        <v>8</v>
      </c>
      <c r="H37">
        <v>5</v>
      </c>
      <c r="I37">
        <v>6</v>
      </c>
      <c r="J37">
        <v>10</v>
      </c>
      <c r="K37">
        <v>9</v>
      </c>
      <c r="L37">
        <v>11.5</v>
      </c>
      <c r="M37">
        <v>7</v>
      </c>
      <c r="N37">
        <v>9.5</v>
      </c>
      <c r="O37">
        <v>9</v>
      </c>
      <c r="P37">
        <v>12</v>
      </c>
      <c r="Q37">
        <v>5.5</v>
      </c>
      <c r="R37">
        <v>7</v>
      </c>
      <c r="S37">
        <v>6</v>
      </c>
      <c r="T37">
        <v>7</v>
      </c>
      <c r="U37">
        <v>11</v>
      </c>
      <c r="V37">
        <v>4</v>
      </c>
      <c r="W37">
        <v>9.5</v>
      </c>
      <c r="X37" s="4">
        <f t="shared" si="4"/>
        <v>129</v>
      </c>
      <c r="Z37">
        <v>0</v>
      </c>
      <c r="AA37">
        <v>0</v>
      </c>
      <c r="AB37">
        <v>0</v>
      </c>
      <c r="AC37">
        <v>0</v>
      </c>
      <c r="AD37">
        <v>0.5</v>
      </c>
      <c r="AE37">
        <v>0</v>
      </c>
      <c r="AF37">
        <v>1</v>
      </c>
      <c r="AG37">
        <v>1</v>
      </c>
      <c r="AH37">
        <v>0</v>
      </c>
      <c r="AI37">
        <v>0.5</v>
      </c>
      <c r="AJ37">
        <v>1</v>
      </c>
      <c r="AK37">
        <v>0</v>
      </c>
      <c r="AL37">
        <v>1</v>
      </c>
      <c r="AM37">
        <v>0</v>
      </c>
      <c r="AN37">
        <v>1</v>
      </c>
      <c r="AO37">
        <v>2</v>
      </c>
      <c r="AP37" s="4">
        <f t="shared" si="5"/>
        <v>8</v>
      </c>
    </row>
    <row r="38" spans="1:42" x14ac:dyDescent="0.25">
      <c r="A38" s="1" t="s">
        <v>369</v>
      </c>
      <c r="B38" s="11" t="s">
        <v>237</v>
      </c>
      <c r="C38" s="12">
        <f t="shared" si="0"/>
        <v>123.5</v>
      </c>
      <c r="D38" s="12">
        <f>$X$43-$W$43</f>
        <v>286</v>
      </c>
      <c r="E38" s="13">
        <f t="shared" si="2"/>
        <v>0.43181818181818182</v>
      </c>
      <c r="F38" s="14">
        <f t="shared" si="6"/>
        <v>9.5</v>
      </c>
      <c r="H38">
        <v>10</v>
      </c>
      <c r="I38">
        <v>11</v>
      </c>
      <c r="J38">
        <v>12</v>
      </c>
      <c r="K38">
        <v>12</v>
      </c>
      <c r="L38">
        <v>11.5</v>
      </c>
      <c r="M38">
        <v>8</v>
      </c>
      <c r="N38">
        <v>9.5</v>
      </c>
      <c r="O38">
        <v>11</v>
      </c>
      <c r="P38">
        <v>10</v>
      </c>
      <c r="Q38">
        <v>6.5</v>
      </c>
      <c r="R38">
        <v>7</v>
      </c>
      <c r="S38">
        <v>4</v>
      </c>
      <c r="T38">
        <v>5</v>
      </c>
      <c r="U38">
        <v>5</v>
      </c>
      <c r="V38">
        <v>1</v>
      </c>
      <c r="W38" s="15" t="s">
        <v>63</v>
      </c>
      <c r="X38" s="4">
        <f t="shared" si="4"/>
        <v>123.5</v>
      </c>
      <c r="Z38">
        <v>2</v>
      </c>
      <c r="AA38">
        <v>1</v>
      </c>
      <c r="AB38">
        <v>1</v>
      </c>
      <c r="AC38">
        <v>0</v>
      </c>
      <c r="AD38">
        <v>0</v>
      </c>
      <c r="AE38">
        <v>1</v>
      </c>
      <c r="AF38">
        <v>1</v>
      </c>
      <c r="AG38">
        <v>2</v>
      </c>
      <c r="AH38">
        <v>1</v>
      </c>
      <c r="AI38">
        <v>0.5</v>
      </c>
      <c r="AJ38">
        <v>0</v>
      </c>
      <c r="AK38">
        <v>0</v>
      </c>
      <c r="AL38">
        <v>0</v>
      </c>
      <c r="AM38">
        <v>0</v>
      </c>
      <c r="AN38">
        <v>0</v>
      </c>
      <c r="AO38" s="15" t="s">
        <v>63</v>
      </c>
      <c r="AP38" s="4">
        <f t="shared" si="5"/>
        <v>9.5</v>
      </c>
    </row>
    <row r="39" spans="1:42" x14ac:dyDescent="0.25">
      <c r="A39" s="1" t="s">
        <v>374</v>
      </c>
      <c r="B39" s="11" t="s">
        <v>238</v>
      </c>
      <c r="C39" s="12">
        <f t="shared" si="0"/>
        <v>113</v>
      </c>
      <c r="D39" s="12">
        <f>$X$43-$T$43-$U$43-$V$43</f>
        <v>264</v>
      </c>
      <c r="E39" s="13">
        <f t="shared" si="2"/>
        <v>0.42803030303030304</v>
      </c>
      <c r="F39" s="14">
        <f t="shared" si="6"/>
        <v>10</v>
      </c>
      <c r="H39">
        <v>9</v>
      </c>
      <c r="I39">
        <v>7</v>
      </c>
      <c r="J39">
        <v>12</v>
      </c>
      <c r="K39">
        <v>10</v>
      </c>
      <c r="L39">
        <v>13.5</v>
      </c>
      <c r="M39">
        <v>10</v>
      </c>
      <c r="N39">
        <v>10.5</v>
      </c>
      <c r="O39">
        <v>11</v>
      </c>
      <c r="P39">
        <v>8</v>
      </c>
      <c r="Q39">
        <v>4.5</v>
      </c>
      <c r="R39">
        <v>3</v>
      </c>
      <c r="S39">
        <v>4</v>
      </c>
      <c r="T39" s="15" t="s">
        <v>63</v>
      </c>
      <c r="U39" s="15" t="s">
        <v>63</v>
      </c>
      <c r="V39" s="15" t="s">
        <v>63</v>
      </c>
      <c r="W39">
        <v>10.5</v>
      </c>
      <c r="X39" s="4">
        <f t="shared" si="4"/>
        <v>113</v>
      </c>
      <c r="Z39">
        <v>2</v>
      </c>
      <c r="AA39">
        <v>0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0</v>
      </c>
      <c r="AI39">
        <v>0</v>
      </c>
      <c r="AJ39">
        <v>0</v>
      </c>
      <c r="AK39">
        <v>0</v>
      </c>
      <c r="AL39" s="15" t="s">
        <v>63</v>
      </c>
      <c r="AM39" s="15" t="s">
        <v>63</v>
      </c>
      <c r="AN39" s="15" t="s">
        <v>63</v>
      </c>
      <c r="AO39">
        <v>2</v>
      </c>
      <c r="AP39" s="4">
        <f t="shared" si="5"/>
        <v>10</v>
      </c>
    </row>
    <row r="40" spans="1:42" x14ac:dyDescent="0.25">
      <c r="A40" s="1" t="s">
        <v>371</v>
      </c>
      <c r="B40" s="11" t="s">
        <v>58</v>
      </c>
      <c r="C40" s="12">
        <f t="shared" si="0"/>
        <v>72</v>
      </c>
      <c r="D40" s="12">
        <f>$X$43-$Q$43-$R$43-$S$43-$T$43-$U$43-$V$43-$W$43</f>
        <v>180</v>
      </c>
      <c r="E40" s="13">
        <f t="shared" si="2"/>
        <v>0.4</v>
      </c>
      <c r="F40" s="14">
        <f t="shared" si="6"/>
        <v>5</v>
      </c>
      <c r="H40">
        <v>11</v>
      </c>
      <c r="I40">
        <v>7</v>
      </c>
      <c r="J40">
        <v>14</v>
      </c>
      <c r="K40">
        <v>10</v>
      </c>
      <c r="L40">
        <v>9.5</v>
      </c>
      <c r="M40">
        <v>5</v>
      </c>
      <c r="N40">
        <v>3.5</v>
      </c>
      <c r="O40">
        <v>4</v>
      </c>
      <c r="P40">
        <v>8</v>
      </c>
      <c r="Q40" s="15" t="s">
        <v>63</v>
      </c>
      <c r="R40" s="15" t="s">
        <v>63</v>
      </c>
      <c r="S40" s="15" t="s">
        <v>63</v>
      </c>
      <c r="T40" s="15" t="s">
        <v>63</v>
      </c>
      <c r="U40" s="15" t="s">
        <v>63</v>
      </c>
      <c r="V40" s="15" t="s">
        <v>63</v>
      </c>
      <c r="W40" s="15" t="s">
        <v>63</v>
      </c>
      <c r="X40" s="4">
        <f t="shared" si="4"/>
        <v>72</v>
      </c>
      <c r="Z40">
        <v>2</v>
      </c>
      <c r="AA40">
        <v>0</v>
      </c>
      <c r="AB40">
        <v>0</v>
      </c>
      <c r="AC40">
        <v>1</v>
      </c>
      <c r="AD40">
        <v>2</v>
      </c>
      <c r="AE40">
        <v>0</v>
      </c>
      <c r="AF40">
        <v>0</v>
      </c>
      <c r="AG40">
        <v>0</v>
      </c>
      <c r="AH40">
        <v>0</v>
      </c>
      <c r="AI40" s="15" t="s">
        <v>63</v>
      </c>
      <c r="AJ40" s="15" t="s">
        <v>63</v>
      </c>
      <c r="AK40" s="15" t="s">
        <v>63</v>
      </c>
      <c r="AL40" s="15" t="s">
        <v>63</v>
      </c>
      <c r="AM40" s="15" t="s">
        <v>63</v>
      </c>
      <c r="AN40" s="15" t="s">
        <v>63</v>
      </c>
      <c r="AO40" s="15" t="s">
        <v>63</v>
      </c>
      <c r="AP40" s="4">
        <f t="shared" si="5"/>
        <v>5</v>
      </c>
    </row>
    <row r="41" spans="1:42" x14ac:dyDescent="0.25">
      <c r="B41" s="16"/>
      <c r="C41" s="17"/>
      <c r="D41" s="17"/>
      <c r="E41" s="18"/>
      <c r="F41" s="19"/>
    </row>
    <row r="42" spans="1:42" ht="15.75" thickBot="1" x14ac:dyDescent="0.3">
      <c r="B42" s="20" t="s">
        <v>106</v>
      </c>
      <c r="C42" s="21">
        <f>X42</f>
        <v>157.5</v>
      </c>
      <c r="D42" s="21">
        <f>$X$43</f>
        <v>310</v>
      </c>
      <c r="E42" s="22">
        <f>C42/D42</f>
        <v>0.50806451612903225</v>
      </c>
      <c r="F42" s="23">
        <f>AP42</f>
        <v>16</v>
      </c>
      <c r="H42">
        <v>8.5</v>
      </c>
      <c r="I42">
        <v>7</v>
      </c>
      <c r="J42">
        <v>12</v>
      </c>
      <c r="K42">
        <v>10</v>
      </c>
      <c r="L42">
        <v>13.5</v>
      </c>
      <c r="M42">
        <v>7</v>
      </c>
      <c r="N42">
        <v>9.5</v>
      </c>
      <c r="O42">
        <v>9</v>
      </c>
      <c r="P42">
        <v>13</v>
      </c>
      <c r="Q42">
        <v>9.5</v>
      </c>
      <c r="R42">
        <v>11</v>
      </c>
      <c r="S42">
        <v>8</v>
      </c>
      <c r="T42">
        <v>9</v>
      </c>
      <c r="U42">
        <v>13</v>
      </c>
      <c r="V42">
        <v>4</v>
      </c>
      <c r="W42">
        <v>13.5</v>
      </c>
      <c r="X42" s="4">
        <f t="shared" ref="X42" si="7">SUM(H42:W42)</f>
        <v>157.5</v>
      </c>
      <c r="Z42">
        <v>1</v>
      </c>
      <c r="AA42">
        <v>0</v>
      </c>
      <c r="AB42">
        <v>1</v>
      </c>
      <c r="AC42">
        <v>1</v>
      </c>
      <c r="AD42">
        <v>1</v>
      </c>
      <c r="AE42">
        <v>0</v>
      </c>
      <c r="AF42">
        <v>1</v>
      </c>
      <c r="AG42">
        <v>2</v>
      </c>
      <c r="AH42">
        <v>2</v>
      </c>
      <c r="AI42">
        <v>0</v>
      </c>
      <c r="AJ42">
        <v>0</v>
      </c>
      <c r="AK42">
        <v>0</v>
      </c>
      <c r="AL42">
        <v>0</v>
      </c>
      <c r="AM42">
        <v>2</v>
      </c>
      <c r="AN42">
        <v>1</v>
      </c>
      <c r="AO42">
        <v>4</v>
      </c>
      <c r="AP42" s="4">
        <f t="shared" ref="AP42" si="8">SUM(Z42:AO42)</f>
        <v>16</v>
      </c>
    </row>
    <row r="43" spans="1:42" x14ac:dyDescent="0.25">
      <c r="H43">
        <v>20</v>
      </c>
      <c r="I43">
        <v>20</v>
      </c>
      <c r="J43">
        <v>20</v>
      </c>
      <c r="K43">
        <v>20</v>
      </c>
      <c r="L43">
        <v>20</v>
      </c>
      <c r="M43">
        <v>20</v>
      </c>
      <c r="N43">
        <v>20</v>
      </c>
      <c r="O43">
        <v>20</v>
      </c>
      <c r="P43">
        <v>20</v>
      </c>
      <c r="Q43">
        <v>20</v>
      </c>
      <c r="R43">
        <v>20</v>
      </c>
      <c r="S43">
        <v>20</v>
      </c>
      <c r="T43">
        <v>20</v>
      </c>
      <c r="U43">
        <v>20</v>
      </c>
      <c r="V43">
        <v>6</v>
      </c>
      <c r="W43">
        <v>24</v>
      </c>
      <c r="X43" s="24">
        <f>SUM(H43:W43)</f>
        <v>310</v>
      </c>
    </row>
    <row r="45" spans="1:42" x14ac:dyDescent="0.25">
      <c r="B45" s="25" t="s">
        <v>64</v>
      </c>
      <c r="C45" s="12">
        <f>$X$45</f>
        <v>155</v>
      </c>
      <c r="D45" s="12">
        <f>$X$43</f>
        <v>310</v>
      </c>
      <c r="E45" s="13">
        <f>C45/D45</f>
        <v>0.5</v>
      </c>
      <c r="F45" s="12" t="s">
        <v>63</v>
      </c>
      <c r="H45">
        <v>8</v>
      </c>
      <c r="I45">
        <v>7</v>
      </c>
      <c r="J45">
        <v>12</v>
      </c>
      <c r="K45">
        <v>11</v>
      </c>
      <c r="L45">
        <v>10.5</v>
      </c>
      <c r="M45">
        <v>9</v>
      </c>
      <c r="N45">
        <v>7.5</v>
      </c>
      <c r="O45">
        <v>8</v>
      </c>
      <c r="P45">
        <v>13</v>
      </c>
      <c r="Q45">
        <v>10.5</v>
      </c>
      <c r="R45">
        <v>11</v>
      </c>
      <c r="S45">
        <v>7</v>
      </c>
      <c r="T45">
        <v>10</v>
      </c>
      <c r="U45">
        <v>12</v>
      </c>
      <c r="V45">
        <v>3</v>
      </c>
      <c r="W45">
        <v>15.5</v>
      </c>
      <c r="X45" s="4">
        <f>SUM(H45:W45)</f>
        <v>155</v>
      </c>
    </row>
    <row r="47" spans="1:42" ht="19.5" thickBot="1" x14ac:dyDescent="0.35">
      <c r="B47" s="2" t="s">
        <v>254</v>
      </c>
      <c r="C47" s="3"/>
      <c r="D47" s="3"/>
      <c r="E47" s="3"/>
      <c r="F47" s="3"/>
    </row>
    <row r="48" spans="1:42" x14ac:dyDescent="0.25">
      <c r="A48" s="1">
        <v>1</v>
      </c>
      <c r="B48" s="110" t="s">
        <v>195</v>
      </c>
      <c r="C48" s="99">
        <f>D48/E48</f>
        <v>0.50370370370370365</v>
      </c>
      <c r="D48" s="100">
        <f>VLOOKUP(B48,$B$3:$F$40,2, FALSE)</f>
        <v>136</v>
      </c>
      <c r="E48" s="100">
        <f>VLOOKUP(B48,$B$3:$F$40,3, FALSE)</f>
        <v>270</v>
      </c>
      <c r="F48" s="101">
        <f>VLOOKUP(B48,$B$3:$F$40,5, FALSE)</f>
        <v>19</v>
      </c>
    </row>
    <row r="49" spans="1:6" x14ac:dyDescent="0.25">
      <c r="A49" s="1">
        <v>2</v>
      </c>
      <c r="B49" s="11" t="s">
        <v>253</v>
      </c>
      <c r="C49" s="13">
        <f>D49/E49</f>
        <v>0.50370370370370365</v>
      </c>
      <c r="D49" s="12">
        <f>VLOOKUP(B49,$B$3:$F$40,2, FALSE)</f>
        <v>136</v>
      </c>
      <c r="E49" s="12">
        <f>VLOOKUP(B49,$B$3:$F$40,3, FALSE)</f>
        <v>270</v>
      </c>
      <c r="F49" s="14">
        <f>VLOOKUP(B49,$B$3:$F$40,5, FALSE)</f>
        <v>17</v>
      </c>
    </row>
    <row r="50" spans="1:6" ht="15.75" thickBot="1" x14ac:dyDescent="0.3">
      <c r="A50" s="1">
        <v>3</v>
      </c>
      <c r="B50" s="20" t="s">
        <v>238</v>
      </c>
      <c r="C50" s="22">
        <f>D50/E50</f>
        <v>0.42803030303030304</v>
      </c>
      <c r="D50" s="21">
        <f>VLOOKUP(B50,$B$3:$F$40,2, FALSE)</f>
        <v>113</v>
      </c>
      <c r="E50" s="21">
        <f>VLOOKUP(B50,$B$3:$F$40,3, FALSE)</f>
        <v>264</v>
      </c>
      <c r="F50" s="23">
        <f>VLOOKUP(B50,$B$3:$F$40,5, FALSE)</f>
        <v>10</v>
      </c>
    </row>
  </sheetData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47"/>
  <sheetViews>
    <sheetView workbookViewId="0">
      <selection activeCell="H1" sqref="H1"/>
    </sheetView>
  </sheetViews>
  <sheetFormatPr defaultColWidth="8.85546875" defaultRowHeight="15" x14ac:dyDescent="0.25"/>
  <cols>
    <col min="1" max="1" width="9.28515625" style="1" bestFit="1" customWidth="1"/>
    <col min="2" max="2" width="20" bestFit="1" customWidth="1"/>
    <col min="3" max="3" width="7.42578125" style="9" bestFit="1" customWidth="1"/>
    <col min="4" max="4" width="6" style="9" bestFit="1" customWidth="1"/>
    <col min="5" max="5" width="7.140625" style="9" bestFit="1" customWidth="1"/>
    <col min="6" max="6" width="8.7109375" style="9" bestFit="1" customWidth="1"/>
    <col min="7" max="7" width="2.7109375" customWidth="1"/>
    <col min="8" max="13" width="3.42578125" bestFit="1" customWidth="1"/>
    <col min="14" max="15" width="5" bestFit="1" customWidth="1"/>
    <col min="16" max="16" width="3.42578125" bestFit="1" customWidth="1"/>
    <col min="17" max="17" width="5" bestFit="1" customWidth="1"/>
    <col min="18" max="21" width="4.42578125" bestFit="1" customWidth="1"/>
    <col min="22" max="22" width="6.28515625" bestFit="1" customWidth="1"/>
    <col min="23" max="23" width="6" style="4" bestFit="1" customWidth="1"/>
    <col min="24" max="24" width="2.7109375" customWidth="1"/>
    <col min="25" max="27" width="3" bestFit="1" customWidth="1"/>
    <col min="28" max="28" width="4" bestFit="1" customWidth="1"/>
    <col min="29" max="30" width="3" bestFit="1" customWidth="1"/>
    <col min="31" max="32" width="4" bestFit="1" customWidth="1"/>
    <col min="33" max="33" width="3" bestFit="1" customWidth="1"/>
    <col min="34" max="38" width="4" bestFit="1" customWidth="1"/>
    <col min="39" max="39" width="6.28515625" bestFit="1" customWidth="1"/>
    <col min="40" max="40" width="5.42578125" style="4" bestFit="1" customWidth="1"/>
  </cols>
  <sheetData>
    <row r="1" spans="1:40" ht="19.5" thickBot="1" x14ac:dyDescent="0.35">
      <c r="B1" s="2" t="s">
        <v>229</v>
      </c>
      <c r="C1" s="3"/>
      <c r="D1" s="3"/>
      <c r="E1" s="3"/>
      <c r="F1" s="3"/>
    </row>
    <row r="2" spans="1:40" s="9" customFormat="1" x14ac:dyDescent="0.25">
      <c r="A2" s="5"/>
      <c r="B2" s="119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20</v>
      </c>
      <c r="W2" s="10" t="s">
        <v>2</v>
      </c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20</v>
      </c>
      <c r="AN2" s="10" t="s">
        <v>2</v>
      </c>
    </row>
    <row r="3" spans="1:40" x14ac:dyDescent="0.25">
      <c r="A3" s="1" t="s">
        <v>111</v>
      </c>
      <c r="B3" s="11" t="s">
        <v>212</v>
      </c>
      <c r="C3" s="12">
        <f t="shared" ref="C3:C38" si="0">W3</f>
        <v>164.5</v>
      </c>
      <c r="D3" s="12">
        <f t="shared" ref="D3:D36" si="1">$W$41</f>
        <v>290</v>
      </c>
      <c r="E3" s="13">
        <f t="shared" ref="E3:E38" si="2">C3/D3</f>
        <v>0.5672413793103448</v>
      </c>
      <c r="F3" s="14">
        <f t="shared" ref="F3:F12" si="3">AN3</f>
        <v>21</v>
      </c>
      <c r="H3">
        <v>12</v>
      </c>
      <c r="I3">
        <v>14</v>
      </c>
      <c r="J3">
        <v>12</v>
      </c>
      <c r="K3">
        <v>12</v>
      </c>
      <c r="L3">
        <v>10</v>
      </c>
      <c r="M3">
        <v>12</v>
      </c>
      <c r="N3">
        <v>10.5</v>
      </c>
      <c r="O3">
        <v>11.5</v>
      </c>
      <c r="P3">
        <v>12</v>
      </c>
      <c r="Q3">
        <v>11.5</v>
      </c>
      <c r="R3">
        <v>11</v>
      </c>
      <c r="S3">
        <v>10</v>
      </c>
      <c r="T3">
        <v>10</v>
      </c>
      <c r="U3">
        <v>3</v>
      </c>
      <c r="V3">
        <v>13</v>
      </c>
      <c r="W3" s="4">
        <f t="shared" ref="W3:W38" si="4">SUM(H3:V3)</f>
        <v>164.5</v>
      </c>
      <c r="Y3">
        <v>1</v>
      </c>
      <c r="Z3">
        <v>1</v>
      </c>
      <c r="AA3">
        <v>0</v>
      </c>
      <c r="AB3">
        <v>0</v>
      </c>
      <c r="AC3">
        <v>2</v>
      </c>
      <c r="AD3">
        <v>1</v>
      </c>
      <c r="AE3">
        <v>2</v>
      </c>
      <c r="AF3">
        <v>2</v>
      </c>
      <c r="AG3">
        <v>1</v>
      </c>
      <c r="AH3">
        <v>2</v>
      </c>
      <c r="AI3">
        <v>2</v>
      </c>
      <c r="AJ3">
        <v>2</v>
      </c>
      <c r="AK3">
        <v>1</v>
      </c>
      <c r="AL3">
        <v>1</v>
      </c>
      <c r="AM3">
        <v>3</v>
      </c>
      <c r="AN3" s="4">
        <f t="shared" ref="AN3:AN38" si="5">SUM(Y3:AM3)</f>
        <v>21</v>
      </c>
    </row>
    <row r="4" spans="1:40" x14ac:dyDescent="0.25">
      <c r="A4" s="1" t="s">
        <v>112</v>
      </c>
      <c r="B4" s="11" t="s">
        <v>55</v>
      </c>
      <c r="C4" s="12">
        <f t="shared" si="0"/>
        <v>161.5</v>
      </c>
      <c r="D4" s="12">
        <f t="shared" si="1"/>
        <v>290</v>
      </c>
      <c r="E4" s="13">
        <f t="shared" si="2"/>
        <v>0.55689655172413788</v>
      </c>
      <c r="F4" s="14">
        <f t="shared" si="3"/>
        <v>18.5</v>
      </c>
      <c r="H4">
        <v>13</v>
      </c>
      <c r="I4">
        <v>8</v>
      </c>
      <c r="J4">
        <v>11</v>
      </c>
      <c r="K4">
        <v>15</v>
      </c>
      <c r="L4">
        <v>11</v>
      </c>
      <c r="M4">
        <v>10</v>
      </c>
      <c r="N4">
        <v>10.5</v>
      </c>
      <c r="O4">
        <v>9.5</v>
      </c>
      <c r="P4">
        <v>12</v>
      </c>
      <c r="Q4">
        <v>12.5</v>
      </c>
      <c r="R4">
        <v>12</v>
      </c>
      <c r="S4">
        <v>11</v>
      </c>
      <c r="T4">
        <v>12</v>
      </c>
      <c r="U4">
        <v>6</v>
      </c>
      <c r="V4">
        <v>8</v>
      </c>
      <c r="W4" s="4">
        <f t="shared" si="4"/>
        <v>161.5</v>
      </c>
      <c r="Y4">
        <v>2</v>
      </c>
      <c r="Z4">
        <v>1</v>
      </c>
      <c r="AA4">
        <v>0</v>
      </c>
      <c r="AB4">
        <v>1.5</v>
      </c>
      <c r="AC4">
        <v>1</v>
      </c>
      <c r="AD4">
        <v>0</v>
      </c>
      <c r="AE4">
        <v>2</v>
      </c>
      <c r="AF4">
        <v>1</v>
      </c>
      <c r="AG4">
        <v>1</v>
      </c>
      <c r="AH4">
        <v>1</v>
      </c>
      <c r="AI4">
        <v>2</v>
      </c>
      <c r="AJ4">
        <v>1</v>
      </c>
      <c r="AK4">
        <v>2</v>
      </c>
      <c r="AL4">
        <v>2</v>
      </c>
      <c r="AM4">
        <v>1</v>
      </c>
      <c r="AN4" s="4">
        <f t="shared" si="5"/>
        <v>18.5</v>
      </c>
    </row>
    <row r="5" spans="1:40" x14ac:dyDescent="0.25">
      <c r="A5" s="1" t="s">
        <v>113</v>
      </c>
      <c r="B5" s="11" t="s">
        <v>59</v>
      </c>
      <c r="C5" s="12">
        <f t="shared" si="0"/>
        <v>159.5</v>
      </c>
      <c r="D5" s="12">
        <f t="shared" si="1"/>
        <v>290</v>
      </c>
      <c r="E5" s="13">
        <f t="shared" si="2"/>
        <v>0.55000000000000004</v>
      </c>
      <c r="F5" s="14">
        <f t="shared" si="3"/>
        <v>18.5</v>
      </c>
      <c r="H5">
        <v>13</v>
      </c>
      <c r="I5">
        <v>13</v>
      </c>
      <c r="J5">
        <v>8</v>
      </c>
      <c r="K5">
        <v>15</v>
      </c>
      <c r="L5">
        <v>9</v>
      </c>
      <c r="M5">
        <v>11</v>
      </c>
      <c r="N5">
        <v>12.5</v>
      </c>
      <c r="O5">
        <v>9.5</v>
      </c>
      <c r="P5">
        <v>11</v>
      </c>
      <c r="Q5">
        <v>10.5</v>
      </c>
      <c r="R5">
        <v>8</v>
      </c>
      <c r="S5">
        <v>10</v>
      </c>
      <c r="T5">
        <v>11</v>
      </c>
      <c r="U5">
        <v>5</v>
      </c>
      <c r="V5">
        <v>13</v>
      </c>
      <c r="W5" s="4">
        <f t="shared" si="4"/>
        <v>159.5</v>
      </c>
      <c r="Y5">
        <v>2</v>
      </c>
      <c r="Z5">
        <v>0</v>
      </c>
      <c r="AA5">
        <v>1</v>
      </c>
      <c r="AB5">
        <v>2</v>
      </c>
      <c r="AC5">
        <v>1</v>
      </c>
      <c r="AD5">
        <v>0</v>
      </c>
      <c r="AE5">
        <v>2</v>
      </c>
      <c r="AF5">
        <v>1</v>
      </c>
      <c r="AG5">
        <v>1</v>
      </c>
      <c r="AH5">
        <v>0.5</v>
      </c>
      <c r="AI5">
        <v>1</v>
      </c>
      <c r="AJ5">
        <v>2</v>
      </c>
      <c r="AK5">
        <v>1</v>
      </c>
      <c r="AL5">
        <v>2</v>
      </c>
      <c r="AM5">
        <v>2</v>
      </c>
      <c r="AN5" s="4">
        <f t="shared" si="5"/>
        <v>18.5</v>
      </c>
    </row>
    <row r="6" spans="1:40" x14ac:dyDescent="0.25">
      <c r="A6" s="1" t="s">
        <v>114</v>
      </c>
      <c r="B6" s="11" t="s">
        <v>51</v>
      </c>
      <c r="C6" s="12">
        <f t="shared" si="0"/>
        <v>156.5</v>
      </c>
      <c r="D6" s="12">
        <f t="shared" si="1"/>
        <v>290</v>
      </c>
      <c r="E6" s="13">
        <f t="shared" si="2"/>
        <v>0.53965517241379313</v>
      </c>
      <c r="F6" s="14">
        <f t="shared" si="3"/>
        <v>18</v>
      </c>
      <c r="H6">
        <v>10</v>
      </c>
      <c r="I6">
        <v>11</v>
      </c>
      <c r="J6">
        <v>10</v>
      </c>
      <c r="K6">
        <v>15</v>
      </c>
      <c r="L6">
        <v>13</v>
      </c>
      <c r="M6">
        <v>9</v>
      </c>
      <c r="N6">
        <v>11.5</v>
      </c>
      <c r="O6">
        <v>9.5</v>
      </c>
      <c r="P6">
        <v>10</v>
      </c>
      <c r="Q6">
        <v>8.5</v>
      </c>
      <c r="R6">
        <v>9</v>
      </c>
      <c r="S6">
        <v>12</v>
      </c>
      <c r="T6">
        <v>11</v>
      </c>
      <c r="U6">
        <v>4</v>
      </c>
      <c r="V6">
        <v>13</v>
      </c>
      <c r="W6" s="4">
        <f t="shared" si="4"/>
        <v>156.5</v>
      </c>
      <c r="Y6">
        <v>0</v>
      </c>
      <c r="Z6">
        <v>1</v>
      </c>
      <c r="AA6">
        <v>1</v>
      </c>
      <c r="AB6">
        <v>2</v>
      </c>
      <c r="AC6">
        <v>2</v>
      </c>
      <c r="AD6">
        <v>0</v>
      </c>
      <c r="AE6">
        <v>1</v>
      </c>
      <c r="AF6">
        <v>1</v>
      </c>
      <c r="AG6">
        <v>2</v>
      </c>
      <c r="AH6">
        <v>0</v>
      </c>
      <c r="AI6">
        <v>1</v>
      </c>
      <c r="AJ6">
        <v>2</v>
      </c>
      <c r="AK6">
        <v>2</v>
      </c>
      <c r="AL6">
        <v>1</v>
      </c>
      <c r="AM6">
        <v>2</v>
      </c>
      <c r="AN6" s="4">
        <f t="shared" si="5"/>
        <v>18</v>
      </c>
    </row>
    <row r="7" spans="1:40" x14ac:dyDescent="0.25">
      <c r="A7" s="1" t="s">
        <v>115</v>
      </c>
      <c r="B7" s="11" t="s">
        <v>195</v>
      </c>
      <c r="C7" s="12">
        <f t="shared" si="0"/>
        <v>155.5</v>
      </c>
      <c r="D7" s="12">
        <f t="shared" si="1"/>
        <v>290</v>
      </c>
      <c r="E7" s="13">
        <f t="shared" si="2"/>
        <v>0.53620689655172415</v>
      </c>
      <c r="F7" s="14">
        <f t="shared" si="3"/>
        <v>20</v>
      </c>
      <c r="H7">
        <v>10</v>
      </c>
      <c r="I7">
        <v>11</v>
      </c>
      <c r="J7">
        <v>9</v>
      </c>
      <c r="K7">
        <v>16</v>
      </c>
      <c r="L7">
        <v>13</v>
      </c>
      <c r="M7">
        <v>11</v>
      </c>
      <c r="N7">
        <v>10.5</v>
      </c>
      <c r="O7">
        <v>9.5</v>
      </c>
      <c r="P7">
        <v>8</v>
      </c>
      <c r="Q7">
        <v>10.5</v>
      </c>
      <c r="R7">
        <v>8</v>
      </c>
      <c r="S7">
        <v>12</v>
      </c>
      <c r="T7">
        <v>12</v>
      </c>
      <c r="U7">
        <v>6</v>
      </c>
      <c r="V7">
        <v>9</v>
      </c>
      <c r="W7" s="4">
        <f t="shared" si="4"/>
        <v>155.5</v>
      </c>
      <c r="Y7">
        <v>1</v>
      </c>
      <c r="Z7">
        <v>1</v>
      </c>
      <c r="AA7">
        <v>2</v>
      </c>
      <c r="AB7">
        <v>2</v>
      </c>
      <c r="AC7">
        <v>1</v>
      </c>
      <c r="AD7">
        <v>2</v>
      </c>
      <c r="AE7">
        <v>1</v>
      </c>
      <c r="AF7">
        <v>1</v>
      </c>
      <c r="AG7">
        <v>0</v>
      </c>
      <c r="AH7">
        <v>1</v>
      </c>
      <c r="AI7">
        <v>2</v>
      </c>
      <c r="AJ7">
        <v>1</v>
      </c>
      <c r="AK7">
        <v>1</v>
      </c>
      <c r="AL7">
        <v>2</v>
      </c>
      <c r="AM7">
        <v>2</v>
      </c>
      <c r="AN7" s="4">
        <f t="shared" si="5"/>
        <v>20</v>
      </c>
    </row>
    <row r="8" spans="1:40" x14ac:dyDescent="0.25">
      <c r="A8" s="1" t="s">
        <v>116</v>
      </c>
      <c r="B8" s="11" t="s">
        <v>36</v>
      </c>
      <c r="C8" s="12">
        <f t="shared" si="0"/>
        <v>155.5</v>
      </c>
      <c r="D8" s="12">
        <f t="shared" si="1"/>
        <v>290</v>
      </c>
      <c r="E8" s="13">
        <f t="shared" si="2"/>
        <v>0.53620689655172415</v>
      </c>
      <c r="F8" s="14">
        <f t="shared" si="3"/>
        <v>14.5</v>
      </c>
      <c r="H8">
        <v>10</v>
      </c>
      <c r="I8">
        <v>14</v>
      </c>
      <c r="J8">
        <v>8</v>
      </c>
      <c r="K8">
        <v>13</v>
      </c>
      <c r="L8">
        <v>10</v>
      </c>
      <c r="M8">
        <v>8</v>
      </c>
      <c r="N8">
        <v>9.5</v>
      </c>
      <c r="O8">
        <v>7.5</v>
      </c>
      <c r="P8">
        <v>11</v>
      </c>
      <c r="Q8">
        <v>12.5</v>
      </c>
      <c r="R8">
        <v>8</v>
      </c>
      <c r="S8">
        <v>12</v>
      </c>
      <c r="T8">
        <v>12</v>
      </c>
      <c r="U8">
        <v>5</v>
      </c>
      <c r="V8">
        <v>15</v>
      </c>
      <c r="W8" s="4">
        <f t="shared" si="4"/>
        <v>155.5</v>
      </c>
      <c r="Y8">
        <v>0</v>
      </c>
      <c r="Z8">
        <v>0</v>
      </c>
      <c r="AA8">
        <v>0</v>
      </c>
      <c r="AB8">
        <v>1</v>
      </c>
      <c r="AC8">
        <v>1</v>
      </c>
      <c r="AD8">
        <v>2</v>
      </c>
      <c r="AE8">
        <v>2</v>
      </c>
      <c r="AF8">
        <v>1</v>
      </c>
      <c r="AG8">
        <v>0</v>
      </c>
      <c r="AH8">
        <v>1.5</v>
      </c>
      <c r="AI8">
        <v>1</v>
      </c>
      <c r="AJ8">
        <v>2</v>
      </c>
      <c r="AK8">
        <v>1</v>
      </c>
      <c r="AL8">
        <v>1</v>
      </c>
      <c r="AM8">
        <v>1</v>
      </c>
      <c r="AN8" s="4">
        <f t="shared" si="5"/>
        <v>14.5</v>
      </c>
    </row>
    <row r="9" spans="1:40" x14ac:dyDescent="0.25">
      <c r="A9" s="1" t="s">
        <v>117</v>
      </c>
      <c r="B9" s="11" t="s">
        <v>43</v>
      </c>
      <c r="C9" s="12">
        <f t="shared" si="0"/>
        <v>154.5</v>
      </c>
      <c r="D9" s="12">
        <f t="shared" si="1"/>
        <v>290</v>
      </c>
      <c r="E9" s="13">
        <f t="shared" si="2"/>
        <v>0.53275862068965518</v>
      </c>
      <c r="F9" s="14">
        <f t="shared" si="3"/>
        <v>20</v>
      </c>
      <c r="H9">
        <v>11</v>
      </c>
      <c r="I9">
        <v>10</v>
      </c>
      <c r="J9">
        <v>10</v>
      </c>
      <c r="K9">
        <v>17</v>
      </c>
      <c r="L9">
        <v>12</v>
      </c>
      <c r="M9">
        <v>8</v>
      </c>
      <c r="N9">
        <v>12.5</v>
      </c>
      <c r="O9">
        <v>10.5</v>
      </c>
      <c r="P9">
        <v>9</v>
      </c>
      <c r="Q9">
        <v>8.5</v>
      </c>
      <c r="R9">
        <v>9</v>
      </c>
      <c r="S9">
        <v>10</v>
      </c>
      <c r="T9">
        <v>11</v>
      </c>
      <c r="U9">
        <v>5</v>
      </c>
      <c r="V9">
        <v>11</v>
      </c>
      <c r="W9" s="4">
        <f t="shared" si="4"/>
        <v>154.5</v>
      </c>
      <c r="Y9">
        <v>1</v>
      </c>
      <c r="Z9">
        <v>0</v>
      </c>
      <c r="AA9">
        <v>1</v>
      </c>
      <c r="AB9">
        <v>2</v>
      </c>
      <c r="AC9">
        <v>1</v>
      </c>
      <c r="AD9">
        <v>1</v>
      </c>
      <c r="AE9">
        <v>1</v>
      </c>
      <c r="AF9">
        <v>2</v>
      </c>
      <c r="AG9">
        <v>1</v>
      </c>
      <c r="AH9">
        <v>1</v>
      </c>
      <c r="AI9">
        <v>2</v>
      </c>
      <c r="AJ9">
        <v>2</v>
      </c>
      <c r="AK9">
        <v>0</v>
      </c>
      <c r="AL9">
        <v>2</v>
      </c>
      <c r="AM9">
        <v>3</v>
      </c>
      <c r="AN9" s="4">
        <f t="shared" si="5"/>
        <v>20</v>
      </c>
    </row>
    <row r="10" spans="1:40" x14ac:dyDescent="0.25">
      <c r="A10" s="1" t="s">
        <v>118</v>
      </c>
      <c r="B10" s="11" t="s">
        <v>50</v>
      </c>
      <c r="C10" s="12">
        <f t="shared" si="0"/>
        <v>153.5</v>
      </c>
      <c r="D10" s="12">
        <f t="shared" si="1"/>
        <v>290</v>
      </c>
      <c r="E10" s="13">
        <f t="shared" si="2"/>
        <v>0.52931034482758621</v>
      </c>
      <c r="F10" s="14">
        <f t="shared" si="3"/>
        <v>22.5</v>
      </c>
      <c r="H10">
        <v>11</v>
      </c>
      <c r="I10">
        <v>11</v>
      </c>
      <c r="J10">
        <v>11</v>
      </c>
      <c r="K10">
        <v>15</v>
      </c>
      <c r="L10">
        <v>12</v>
      </c>
      <c r="M10">
        <v>8</v>
      </c>
      <c r="N10">
        <v>10.5</v>
      </c>
      <c r="O10">
        <v>8.5</v>
      </c>
      <c r="P10">
        <v>9</v>
      </c>
      <c r="Q10">
        <v>9.5</v>
      </c>
      <c r="R10">
        <v>10</v>
      </c>
      <c r="S10">
        <v>12</v>
      </c>
      <c r="T10">
        <v>11</v>
      </c>
      <c r="U10">
        <v>4</v>
      </c>
      <c r="V10">
        <v>11</v>
      </c>
      <c r="W10" s="4">
        <f t="shared" si="4"/>
        <v>153.5</v>
      </c>
      <c r="Y10">
        <v>2</v>
      </c>
      <c r="Z10">
        <v>2</v>
      </c>
      <c r="AA10">
        <v>1</v>
      </c>
      <c r="AB10">
        <v>1.5</v>
      </c>
      <c r="AC10">
        <v>1</v>
      </c>
      <c r="AD10">
        <v>1</v>
      </c>
      <c r="AE10">
        <v>1</v>
      </c>
      <c r="AF10">
        <v>2</v>
      </c>
      <c r="AG10">
        <v>1</v>
      </c>
      <c r="AH10">
        <v>1</v>
      </c>
      <c r="AI10">
        <v>2</v>
      </c>
      <c r="AJ10">
        <v>2</v>
      </c>
      <c r="AK10">
        <v>2</v>
      </c>
      <c r="AL10">
        <v>1</v>
      </c>
      <c r="AM10">
        <v>2</v>
      </c>
      <c r="AN10" s="4">
        <f t="shared" si="5"/>
        <v>22.5</v>
      </c>
    </row>
    <row r="11" spans="1:40" x14ac:dyDescent="0.25">
      <c r="A11" s="1" t="s">
        <v>119</v>
      </c>
      <c r="B11" s="11" t="s">
        <v>47</v>
      </c>
      <c r="C11" s="12">
        <f t="shared" si="0"/>
        <v>152.5</v>
      </c>
      <c r="D11" s="12">
        <f t="shared" si="1"/>
        <v>290</v>
      </c>
      <c r="E11" s="13">
        <f t="shared" si="2"/>
        <v>0.52586206896551724</v>
      </c>
      <c r="F11" s="14">
        <f t="shared" si="3"/>
        <v>13</v>
      </c>
      <c r="H11">
        <v>10</v>
      </c>
      <c r="I11">
        <v>13</v>
      </c>
      <c r="J11">
        <v>12</v>
      </c>
      <c r="K11">
        <v>14</v>
      </c>
      <c r="L11">
        <v>13</v>
      </c>
      <c r="M11">
        <v>8</v>
      </c>
      <c r="N11">
        <v>12.5</v>
      </c>
      <c r="O11">
        <v>8.5</v>
      </c>
      <c r="P11">
        <v>10</v>
      </c>
      <c r="Q11">
        <v>11.5</v>
      </c>
      <c r="R11">
        <v>8</v>
      </c>
      <c r="S11">
        <v>12</v>
      </c>
      <c r="T11">
        <v>10</v>
      </c>
      <c r="U11">
        <v>2</v>
      </c>
      <c r="V11">
        <v>8</v>
      </c>
      <c r="W11" s="4">
        <f t="shared" si="4"/>
        <v>152.5</v>
      </c>
      <c r="Y11">
        <v>1</v>
      </c>
      <c r="Z11">
        <v>1</v>
      </c>
      <c r="AA11">
        <v>0</v>
      </c>
      <c r="AB11">
        <v>2</v>
      </c>
      <c r="AC11">
        <v>1</v>
      </c>
      <c r="AD11">
        <v>0</v>
      </c>
      <c r="AE11">
        <v>1</v>
      </c>
      <c r="AF11">
        <v>0</v>
      </c>
      <c r="AG11">
        <v>1</v>
      </c>
      <c r="AH11">
        <v>1</v>
      </c>
      <c r="AI11">
        <v>1</v>
      </c>
      <c r="AJ11">
        <v>2</v>
      </c>
      <c r="AK11">
        <v>1</v>
      </c>
      <c r="AL11">
        <v>1</v>
      </c>
      <c r="AM11">
        <v>0</v>
      </c>
      <c r="AN11" s="4">
        <f t="shared" si="5"/>
        <v>13</v>
      </c>
    </row>
    <row r="12" spans="1:40" x14ac:dyDescent="0.25">
      <c r="A12" s="1" t="s">
        <v>120</v>
      </c>
      <c r="B12" s="11" t="s">
        <v>215</v>
      </c>
      <c r="C12" s="12">
        <f t="shared" si="0"/>
        <v>151.5</v>
      </c>
      <c r="D12" s="12">
        <f t="shared" si="1"/>
        <v>290</v>
      </c>
      <c r="E12" s="13">
        <f t="shared" si="2"/>
        <v>0.52241379310344827</v>
      </c>
      <c r="F12" s="14">
        <f t="shared" si="3"/>
        <v>18</v>
      </c>
      <c r="H12">
        <v>9</v>
      </c>
      <c r="I12">
        <v>13</v>
      </c>
      <c r="J12">
        <v>10</v>
      </c>
      <c r="K12">
        <v>16</v>
      </c>
      <c r="L12">
        <v>10</v>
      </c>
      <c r="M12">
        <v>6</v>
      </c>
      <c r="N12">
        <v>11.5</v>
      </c>
      <c r="O12">
        <v>7.5</v>
      </c>
      <c r="P12">
        <v>9</v>
      </c>
      <c r="Q12">
        <v>14.5</v>
      </c>
      <c r="R12">
        <v>10</v>
      </c>
      <c r="S12">
        <v>10</v>
      </c>
      <c r="T12">
        <v>11</v>
      </c>
      <c r="U12">
        <v>4</v>
      </c>
      <c r="V12">
        <v>10</v>
      </c>
      <c r="W12" s="4">
        <f t="shared" si="4"/>
        <v>151.5</v>
      </c>
      <c r="Y12">
        <v>0</v>
      </c>
      <c r="Z12">
        <v>1</v>
      </c>
      <c r="AA12">
        <v>0</v>
      </c>
      <c r="AB12">
        <v>2</v>
      </c>
      <c r="AC12">
        <v>1</v>
      </c>
      <c r="AD12">
        <v>2</v>
      </c>
      <c r="AE12">
        <v>1</v>
      </c>
      <c r="AF12">
        <v>1</v>
      </c>
      <c r="AG12">
        <v>1</v>
      </c>
      <c r="AH12">
        <v>2</v>
      </c>
      <c r="AI12">
        <v>0</v>
      </c>
      <c r="AJ12">
        <v>1</v>
      </c>
      <c r="AK12">
        <v>2</v>
      </c>
      <c r="AL12">
        <v>1</v>
      </c>
      <c r="AM12">
        <v>3</v>
      </c>
      <c r="AN12" s="4">
        <f t="shared" si="5"/>
        <v>18</v>
      </c>
    </row>
    <row r="13" spans="1:40" x14ac:dyDescent="0.25">
      <c r="A13" s="1" t="s">
        <v>121</v>
      </c>
      <c r="B13" s="11" t="s">
        <v>191</v>
      </c>
      <c r="C13" s="12">
        <f t="shared" si="0"/>
        <v>151.5</v>
      </c>
      <c r="D13" s="12">
        <f t="shared" si="1"/>
        <v>290</v>
      </c>
      <c r="E13" s="13">
        <f t="shared" si="2"/>
        <v>0.52241379310344827</v>
      </c>
      <c r="F13" s="14" t="s">
        <v>230</v>
      </c>
      <c r="H13">
        <v>9</v>
      </c>
      <c r="I13">
        <v>14</v>
      </c>
      <c r="J13">
        <v>10</v>
      </c>
      <c r="K13">
        <v>14</v>
      </c>
      <c r="L13">
        <v>14</v>
      </c>
      <c r="M13">
        <v>7</v>
      </c>
      <c r="N13">
        <v>11.5</v>
      </c>
      <c r="O13">
        <v>7.5</v>
      </c>
      <c r="P13">
        <v>7</v>
      </c>
      <c r="Q13">
        <v>11.5</v>
      </c>
      <c r="R13">
        <v>11</v>
      </c>
      <c r="S13">
        <v>8</v>
      </c>
      <c r="T13">
        <v>11</v>
      </c>
      <c r="U13">
        <v>3</v>
      </c>
      <c r="V13">
        <v>13</v>
      </c>
      <c r="W13" s="4">
        <f t="shared" si="4"/>
        <v>151.5</v>
      </c>
      <c r="Y13">
        <v>1</v>
      </c>
      <c r="Z13">
        <v>1</v>
      </c>
      <c r="AA13">
        <v>1</v>
      </c>
      <c r="AB13">
        <v>2</v>
      </c>
      <c r="AC13">
        <v>2</v>
      </c>
      <c r="AD13">
        <v>0</v>
      </c>
      <c r="AE13">
        <v>1</v>
      </c>
      <c r="AF13">
        <v>1</v>
      </c>
      <c r="AG13">
        <v>0</v>
      </c>
      <c r="AH13">
        <v>1</v>
      </c>
      <c r="AI13">
        <v>1</v>
      </c>
      <c r="AJ13">
        <v>2</v>
      </c>
      <c r="AK13">
        <v>1</v>
      </c>
      <c r="AL13">
        <v>1</v>
      </c>
      <c r="AM13">
        <v>0</v>
      </c>
      <c r="AN13" s="4">
        <f t="shared" si="5"/>
        <v>15</v>
      </c>
    </row>
    <row r="14" spans="1:40" x14ac:dyDescent="0.25">
      <c r="A14" s="1" t="s">
        <v>122</v>
      </c>
      <c r="B14" s="11" t="s">
        <v>194</v>
      </c>
      <c r="C14" s="12">
        <f t="shared" si="0"/>
        <v>151.5</v>
      </c>
      <c r="D14" s="12">
        <f t="shared" si="1"/>
        <v>290</v>
      </c>
      <c r="E14" s="13">
        <f t="shared" si="2"/>
        <v>0.52241379310344827</v>
      </c>
      <c r="F14" s="14" t="s">
        <v>231</v>
      </c>
      <c r="H14">
        <v>10</v>
      </c>
      <c r="I14">
        <v>11</v>
      </c>
      <c r="J14">
        <v>10</v>
      </c>
      <c r="K14">
        <v>13</v>
      </c>
      <c r="L14">
        <v>13</v>
      </c>
      <c r="M14">
        <v>7</v>
      </c>
      <c r="N14">
        <v>9.5</v>
      </c>
      <c r="O14">
        <v>9.5</v>
      </c>
      <c r="P14">
        <v>10</v>
      </c>
      <c r="Q14">
        <v>8.5</v>
      </c>
      <c r="R14">
        <v>10</v>
      </c>
      <c r="S14">
        <v>13</v>
      </c>
      <c r="T14">
        <v>10</v>
      </c>
      <c r="U14">
        <v>4</v>
      </c>
      <c r="V14">
        <v>13</v>
      </c>
      <c r="W14" s="4">
        <f t="shared" si="4"/>
        <v>151.5</v>
      </c>
      <c r="Y14">
        <v>1</v>
      </c>
      <c r="Z14">
        <v>0</v>
      </c>
      <c r="AA14">
        <v>0</v>
      </c>
      <c r="AB14">
        <v>1</v>
      </c>
      <c r="AC14">
        <v>2</v>
      </c>
      <c r="AD14">
        <v>1</v>
      </c>
      <c r="AE14">
        <v>0</v>
      </c>
      <c r="AF14">
        <v>1</v>
      </c>
      <c r="AG14">
        <v>0</v>
      </c>
      <c r="AH14">
        <v>0</v>
      </c>
      <c r="AI14">
        <v>1</v>
      </c>
      <c r="AJ14">
        <v>2</v>
      </c>
      <c r="AK14">
        <v>2</v>
      </c>
      <c r="AL14">
        <v>2</v>
      </c>
      <c r="AM14">
        <v>2</v>
      </c>
      <c r="AN14" s="4">
        <f t="shared" si="5"/>
        <v>15</v>
      </c>
    </row>
    <row r="15" spans="1:40" x14ac:dyDescent="0.25">
      <c r="A15" s="1" t="s">
        <v>123</v>
      </c>
      <c r="B15" s="11" t="s">
        <v>52</v>
      </c>
      <c r="C15" s="12">
        <f t="shared" si="0"/>
        <v>151.5</v>
      </c>
      <c r="D15" s="12">
        <f t="shared" si="1"/>
        <v>290</v>
      </c>
      <c r="E15" s="13">
        <f t="shared" si="2"/>
        <v>0.52241379310344827</v>
      </c>
      <c r="F15" s="14">
        <f t="shared" ref="F15:F38" si="6">AN15</f>
        <v>11.5</v>
      </c>
      <c r="H15">
        <v>10</v>
      </c>
      <c r="I15">
        <v>11</v>
      </c>
      <c r="J15">
        <v>10</v>
      </c>
      <c r="K15">
        <v>15</v>
      </c>
      <c r="L15">
        <v>10</v>
      </c>
      <c r="M15">
        <v>9</v>
      </c>
      <c r="N15">
        <v>11.5</v>
      </c>
      <c r="O15">
        <v>10.5</v>
      </c>
      <c r="P15">
        <v>10</v>
      </c>
      <c r="Q15">
        <v>8.5</v>
      </c>
      <c r="R15">
        <v>9</v>
      </c>
      <c r="S15">
        <v>12</v>
      </c>
      <c r="T15">
        <v>11</v>
      </c>
      <c r="U15">
        <v>4</v>
      </c>
      <c r="V15">
        <v>10</v>
      </c>
      <c r="W15" s="4">
        <f t="shared" si="4"/>
        <v>151.5</v>
      </c>
      <c r="Y15">
        <v>2</v>
      </c>
      <c r="Z15">
        <v>2</v>
      </c>
      <c r="AA15">
        <v>0</v>
      </c>
      <c r="AB15">
        <v>1</v>
      </c>
      <c r="AC15">
        <v>0</v>
      </c>
      <c r="AD15">
        <v>0</v>
      </c>
      <c r="AE15">
        <v>0.5</v>
      </c>
      <c r="AF15">
        <v>1</v>
      </c>
      <c r="AG15">
        <v>1</v>
      </c>
      <c r="AH15">
        <v>0</v>
      </c>
      <c r="AI15">
        <v>0</v>
      </c>
      <c r="AJ15">
        <v>1</v>
      </c>
      <c r="AK15">
        <v>0</v>
      </c>
      <c r="AL15">
        <v>1</v>
      </c>
      <c r="AM15">
        <v>2</v>
      </c>
      <c r="AN15" s="4">
        <f t="shared" si="5"/>
        <v>11.5</v>
      </c>
    </row>
    <row r="16" spans="1:40" x14ac:dyDescent="0.25">
      <c r="A16" s="1" t="s">
        <v>124</v>
      </c>
      <c r="B16" s="11" t="s">
        <v>53</v>
      </c>
      <c r="C16" s="12">
        <f t="shared" si="0"/>
        <v>150.5</v>
      </c>
      <c r="D16" s="12">
        <f t="shared" si="1"/>
        <v>290</v>
      </c>
      <c r="E16" s="13">
        <f t="shared" si="2"/>
        <v>0.51896551724137929</v>
      </c>
      <c r="F16" s="14">
        <f t="shared" si="6"/>
        <v>18</v>
      </c>
      <c r="H16">
        <v>11</v>
      </c>
      <c r="I16">
        <v>8</v>
      </c>
      <c r="J16">
        <v>9</v>
      </c>
      <c r="K16">
        <v>12</v>
      </c>
      <c r="L16">
        <v>10</v>
      </c>
      <c r="M16">
        <v>10</v>
      </c>
      <c r="N16">
        <v>9.5</v>
      </c>
      <c r="O16">
        <v>13.5</v>
      </c>
      <c r="P16">
        <v>7</v>
      </c>
      <c r="Q16">
        <v>11.5</v>
      </c>
      <c r="R16">
        <v>9</v>
      </c>
      <c r="S16">
        <v>12</v>
      </c>
      <c r="T16">
        <v>11</v>
      </c>
      <c r="U16">
        <v>6</v>
      </c>
      <c r="V16">
        <v>11</v>
      </c>
      <c r="W16" s="4">
        <f t="shared" si="4"/>
        <v>150.5</v>
      </c>
      <c r="Y16">
        <v>2</v>
      </c>
      <c r="Z16">
        <v>2</v>
      </c>
      <c r="AA16">
        <v>0</v>
      </c>
      <c r="AB16">
        <v>2</v>
      </c>
      <c r="AC16">
        <v>1</v>
      </c>
      <c r="AD16">
        <v>0</v>
      </c>
      <c r="AE16">
        <v>1</v>
      </c>
      <c r="AF16">
        <v>2</v>
      </c>
      <c r="AG16">
        <v>1</v>
      </c>
      <c r="AH16">
        <v>1</v>
      </c>
      <c r="AI16">
        <v>0</v>
      </c>
      <c r="AJ16">
        <v>2</v>
      </c>
      <c r="AK16">
        <v>2</v>
      </c>
      <c r="AL16">
        <v>2</v>
      </c>
      <c r="AM16">
        <v>0</v>
      </c>
      <c r="AN16" s="4">
        <f t="shared" si="5"/>
        <v>18</v>
      </c>
    </row>
    <row r="17" spans="1:40" x14ac:dyDescent="0.25">
      <c r="A17" s="1" t="s">
        <v>125</v>
      </c>
      <c r="B17" s="11" t="s">
        <v>214</v>
      </c>
      <c r="C17" s="12">
        <f t="shared" si="0"/>
        <v>150.5</v>
      </c>
      <c r="D17" s="12">
        <f t="shared" si="1"/>
        <v>290</v>
      </c>
      <c r="E17" s="13">
        <f t="shared" si="2"/>
        <v>0.51896551724137929</v>
      </c>
      <c r="F17" s="14">
        <f t="shared" si="6"/>
        <v>15</v>
      </c>
      <c r="H17">
        <v>10</v>
      </c>
      <c r="I17">
        <v>13</v>
      </c>
      <c r="J17">
        <v>11</v>
      </c>
      <c r="K17">
        <v>15</v>
      </c>
      <c r="L17">
        <v>10</v>
      </c>
      <c r="M17">
        <v>10</v>
      </c>
      <c r="N17">
        <v>9.5</v>
      </c>
      <c r="O17">
        <v>9.5</v>
      </c>
      <c r="P17">
        <v>7</v>
      </c>
      <c r="Q17">
        <v>8.5</v>
      </c>
      <c r="R17">
        <v>10</v>
      </c>
      <c r="S17">
        <v>8</v>
      </c>
      <c r="T17">
        <v>12</v>
      </c>
      <c r="U17">
        <v>6</v>
      </c>
      <c r="V17">
        <v>11</v>
      </c>
      <c r="W17" s="4">
        <f t="shared" si="4"/>
        <v>150.5</v>
      </c>
      <c r="Y17">
        <v>2</v>
      </c>
      <c r="Z17">
        <v>2</v>
      </c>
      <c r="AA17">
        <v>1</v>
      </c>
      <c r="AB17">
        <v>1</v>
      </c>
      <c r="AC17">
        <v>0</v>
      </c>
      <c r="AD17">
        <v>1</v>
      </c>
      <c r="AE17">
        <v>1</v>
      </c>
      <c r="AF17">
        <v>2</v>
      </c>
      <c r="AG17">
        <v>0</v>
      </c>
      <c r="AH17">
        <v>0</v>
      </c>
      <c r="AI17">
        <v>1</v>
      </c>
      <c r="AJ17">
        <v>1</v>
      </c>
      <c r="AK17">
        <v>0</v>
      </c>
      <c r="AL17">
        <v>2</v>
      </c>
      <c r="AM17">
        <v>1</v>
      </c>
      <c r="AN17" s="4">
        <f t="shared" si="5"/>
        <v>15</v>
      </c>
    </row>
    <row r="18" spans="1:40" x14ac:dyDescent="0.25">
      <c r="A18" s="1" t="s">
        <v>126</v>
      </c>
      <c r="B18" s="11" t="s">
        <v>54</v>
      </c>
      <c r="C18" s="12">
        <f t="shared" si="0"/>
        <v>149.5</v>
      </c>
      <c r="D18" s="12">
        <f t="shared" si="1"/>
        <v>290</v>
      </c>
      <c r="E18" s="13">
        <f t="shared" si="2"/>
        <v>0.51551724137931032</v>
      </c>
      <c r="F18" s="14">
        <f t="shared" si="6"/>
        <v>21.5</v>
      </c>
      <c r="H18">
        <v>11</v>
      </c>
      <c r="I18">
        <v>11</v>
      </c>
      <c r="J18">
        <v>11</v>
      </c>
      <c r="K18">
        <v>12</v>
      </c>
      <c r="L18">
        <v>11</v>
      </c>
      <c r="M18">
        <v>9</v>
      </c>
      <c r="N18">
        <v>10.5</v>
      </c>
      <c r="O18">
        <v>6.5</v>
      </c>
      <c r="P18">
        <v>10</v>
      </c>
      <c r="Q18">
        <v>8.5</v>
      </c>
      <c r="R18">
        <v>8</v>
      </c>
      <c r="S18">
        <v>14</v>
      </c>
      <c r="T18">
        <v>12</v>
      </c>
      <c r="U18">
        <v>4</v>
      </c>
      <c r="V18">
        <v>11</v>
      </c>
      <c r="W18" s="4">
        <f t="shared" si="4"/>
        <v>149.5</v>
      </c>
      <c r="Y18">
        <v>1</v>
      </c>
      <c r="Z18">
        <v>1</v>
      </c>
      <c r="AA18">
        <v>1</v>
      </c>
      <c r="AB18">
        <v>2</v>
      </c>
      <c r="AC18">
        <v>2</v>
      </c>
      <c r="AD18">
        <v>2</v>
      </c>
      <c r="AE18">
        <v>1</v>
      </c>
      <c r="AF18">
        <v>1</v>
      </c>
      <c r="AG18">
        <v>1</v>
      </c>
      <c r="AH18">
        <v>1.5</v>
      </c>
      <c r="AI18">
        <v>1</v>
      </c>
      <c r="AJ18">
        <v>1</v>
      </c>
      <c r="AK18">
        <v>2</v>
      </c>
      <c r="AL18">
        <v>1</v>
      </c>
      <c r="AM18">
        <v>3</v>
      </c>
      <c r="AN18" s="4">
        <f t="shared" si="5"/>
        <v>21.5</v>
      </c>
    </row>
    <row r="19" spans="1:40" x14ac:dyDescent="0.25">
      <c r="A19" s="1" t="s">
        <v>127</v>
      </c>
      <c r="B19" s="11" t="s">
        <v>39</v>
      </c>
      <c r="C19" s="12">
        <f t="shared" si="0"/>
        <v>149.5</v>
      </c>
      <c r="D19" s="12">
        <f t="shared" si="1"/>
        <v>290</v>
      </c>
      <c r="E19" s="13">
        <f t="shared" si="2"/>
        <v>0.51551724137931032</v>
      </c>
      <c r="F19" s="14">
        <f t="shared" si="6"/>
        <v>19</v>
      </c>
      <c r="H19">
        <v>9</v>
      </c>
      <c r="I19">
        <v>12</v>
      </c>
      <c r="J19">
        <v>8</v>
      </c>
      <c r="K19">
        <v>13</v>
      </c>
      <c r="L19">
        <v>9</v>
      </c>
      <c r="M19">
        <v>10</v>
      </c>
      <c r="N19">
        <v>8.5</v>
      </c>
      <c r="O19">
        <v>9.5</v>
      </c>
      <c r="P19">
        <v>6</v>
      </c>
      <c r="Q19">
        <v>10.5</v>
      </c>
      <c r="R19">
        <v>9</v>
      </c>
      <c r="S19">
        <v>13</v>
      </c>
      <c r="T19">
        <v>14</v>
      </c>
      <c r="U19">
        <v>4</v>
      </c>
      <c r="V19">
        <v>14</v>
      </c>
      <c r="W19" s="4">
        <f t="shared" si="4"/>
        <v>149.5</v>
      </c>
      <c r="Y19">
        <v>1</v>
      </c>
      <c r="Z19">
        <v>1</v>
      </c>
      <c r="AA19">
        <v>2</v>
      </c>
      <c r="AB19">
        <v>1</v>
      </c>
      <c r="AC19">
        <v>1</v>
      </c>
      <c r="AD19">
        <v>0</v>
      </c>
      <c r="AE19">
        <v>2</v>
      </c>
      <c r="AF19">
        <v>1</v>
      </c>
      <c r="AG19">
        <v>2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3</v>
      </c>
      <c r="AN19" s="4">
        <f t="shared" si="5"/>
        <v>19</v>
      </c>
    </row>
    <row r="20" spans="1:40" x14ac:dyDescent="0.25">
      <c r="A20" s="1" t="s">
        <v>128</v>
      </c>
      <c r="B20" s="11" t="s">
        <v>45</v>
      </c>
      <c r="C20" s="12">
        <f t="shared" si="0"/>
        <v>149.5</v>
      </c>
      <c r="D20" s="12">
        <f t="shared" si="1"/>
        <v>290</v>
      </c>
      <c r="E20" s="13">
        <f t="shared" si="2"/>
        <v>0.51551724137931032</v>
      </c>
      <c r="F20" s="14">
        <f t="shared" si="6"/>
        <v>17.5</v>
      </c>
      <c r="H20">
        <v>14</v>
      </c>
      <c r="I20">
        <v>11</v>
      </c>
      <c r="J20">
        <v>10</v>
      </c>
      <c r="K20">
        <v>12</v>
      </c>
      <c r="L20">
        <v>11</v>
      </c>
      <c r="M20">
        <v>8</v>
      </c>
      <c r="N20">
        <v>7.5</v>
      </c>
      <c r="O20">
        <v>11.5</v>
      </c>
      <c r="P20">
        <v>9</v>
      </c>
      <c r="Q20">
        <v>9.5</v>
      </c>
      <c r="R20">
        <v>11</v>
      </c>
      <c r="S20">
        <v>12</v>
      </c>
      <c r="T20">
        <v>10</v>
      </c>
      <c r="U20">
        <v>3</v>
      </c>
      <c r="V20">
        <v>10</v>
      </c>
      <c r="W20" s="4">
        <f t="shared" si="4"/>
        <v>149.5</v>
      </c>
      <c r="Y20">
        <v>0</v>
      </c>
      <c r="Z20">
        <v>1</v>
      </c>
      <c r="AA20">
        <v>2</v>
      </c>
      <c r="AB20">
        <v>2</v>
      </c>
      <c r="AC20">
        <v>1</v>
      </c>
      <c r="AD20">
        <v>2</v>
      </c>
      <c r="AE20">
        <v>1</v>
      </c>
      <c r="AF20">
        <v>1</v>
      </c>
      <c r="AG20">
        <v>0</v>
      </c>
      <c r="AH20">
        <v>0.5</v>
      </c>
      <c r="AI20">
        <v>0</v>
      </c>
      <c r="AJ20">
        <v>2</v>
      </c>
      <c r="AK20">
        <v>1</v>
      </c>
      <c r="AL20">
        <v>1</v>
      </c>
      <c r="AM20">
        <v>3</v>
      </c>
      <c r="AN20" s="4">
        <f t="shared" si="5"/>
        <v>17.5</v>
      </c>
    </row>
    <row r="21" spans="1:40" x14ac:dyDescent="0.25">
      <c r="A21" s="1" t="s">
        <v>129</v>
      </c>
      <c r="B21" s="11" t="s">
        <v>40</v>
      </c>
      <c r="C21" s="12">
        <f t="shared" si="0"/>
        <v>148.5</v>
      </c>
      <c r="D21" s="12">
        <f t="shared" si="1"/>
        <v>290</v>
      </c>
      <c r="E21" s="13">
        <f t="shared" si="2"/>
        <v>0.51206896551724135</v>
      </c>
      <c r="F21" s="14">
        <f t="shared" si="6"/>
        <v>19.5</v>
      </c>
      <c r="H21">
        <v>9</v>
      </c>
      <c r="I21">
        <v>16</v>
      </c>
      <c r="J21">
        <v>12</v>
      </c>
      <c r="K21">
        <v>14</v>
      </c>
      <c r="L21">
        <v>8</v>
      </c>
      <c r="M21">
        <v>8</v>
      </c>
      <c r="N21">
        <v>11.5</v>
      </c>
      <c r="O21">
        <v>12.5</v>
      </c>
      <c r="P21">
        <v>9</v>
      </c>
      <c r="Q21">
        <v>6.5</v>
      </c>
      <c r="R21">
        <v>10</v>
      </c>
      <c r="S21">
        <v>7</v>
      </c>
      <c r="T21">
        <v>15</v>
      </c>
      <c r="U21">
        <v>4</v>
      </c>
      <c r="V21">
        <v>6</v>
      </c>
      <c r="W21" s="4">
        <f t="shared" si="4"/>
        <v>148.5</v>
      </c>
      <c r="Y21">
        <v>0</v>
      </c>
      <c r="Z21">
        <v>2</v>
      </c>
      <c r="AA21">
        <v>2</v>
      </c>
      <c r="AB21">
        <v>2</v>
      </c>
      <c r="AC21">
        <v>2</v>
      </c>
      <c r="AD21">
        <v>1</v>
      </c>
      <c r="AE21">
        <v>1.5</v>
      </c>
      <c r="AF21">
        <v>1</v>
      </c>
      <c r="AG21">
        <v>1</v>
      </c>
      <c r="AH21">
        <v>1</v>
      </c>
      <c r="AI21">
        <v>2</v>
      </c>
      <c r="AJ21">
        <v>0</v>
      </c>
      <c r="AK21">
        <v>0</v>
      </c>
      <c r="AL21">
        <v>2</v>
      </c>
      <c r="AM21">
        <v>2</v>
      </c>
      <c r="AN21" s="4">
        <f t="shared" si="5"/>
        <v>19.5</v>
      </c>
    </row>
    <row r="22" spans="1:40" x14ac:dyDescent="0.25">
      <c r="A22" s="1" t="s">
        <v>130</v>
      </c>
      <c r="B22" s="11" t="s">
        <v>251</v>
      </c>
      <c r="C22" s="12">
        <f t="shared" si="0"/>
        <v>148.5</v>
      </c>
      <c r="D22" s="12">
        <f t="shared" si="1"/>
        <v>290</v>
      </c>
      <c r="E22" s="13">
        <f t="shared" si="2"/>
        <v>0.51206896551724135</v>
      </c>
      <c r="F22" s="14">
        <f t="shared" si="6"/>
        <v>14.5</v>
      </c>
      <c r="H22">
        <v>5</v>
      </c>
      <c r="I22">
        <v>7</v>
      </c>
      <c r="J22">
        <v>12</v>
      </c>
      <c r="K22">
        <v>13</v>
      </c>
      <c r="L22">
        <v>9</v>
      </c>
      <c r="M22">
        <v>15</v>
      </c>
      <c r="N22">
        <v>13.5</v>
      </c>
      <c r="O22">
        <v>10.5</v>
      </c>
      <c r="P22">
        <v>11</v>
      </c>
      <c r="Q22">
        <v>11.5</v>
      </c>
      <c r="R22">
        <v>6</v>
      </c>
      <c r="S22">
        <v>14</v>
      </c>
      <c r="T22">
        <v>11</v>
      </c>
      <c r="U22">
        <v>2</v>
      </c>
      <c r="V22">
        <v>8</v>
      </c>
      <c r="W22" s="4">
        <f t="shared" si="4"/>
        <v>148.5</v>
      </c>
      <c r="Y22">
        <v>1</v>
      </c>
      <c r="Z22">
        <v>0</v>
      </c>
      <c r="AA22">
        <v>1</v>
      </c>
      <c r="AB22">
        <v>1</v>
      </c>
      <c r="AC22">
        <v>0</v>
      </c>
      <c r="AD22">
        <v>1</v>
      </c>
      <c r="AE22">
        <v>0.5</v>
      </c>
      <c r="AF22">
        <v>2</v>
      </c>
      <c r="AG22">
        <v>1</v>
      </c>
      <c r="AH22">
        <v>1</v>
      </c>
      <c r="AI22">
        <v>0</v>
      </c>
      <c r="AJ22">
        <v>1</v>
      </c>
      <c r="AK22">
        <v>2</v>
      </c>
      <c r="AL22">
        <v>0</v>
      </c>
      <c r="AM22">
        <v>3</v>
      </c>
      <c r="AN22" s="4">
        <f t="shared" si="5"/>
        <v>14.5</v>
      </c>
    </row>
    <row r="23" spans="1:40" x14ac:dyDescent="0.25">
      <c r="A23" s="1" t="s">
        <v>131</v>
      </c>
      <c r="B23" s="11" t="s">
        <v>44</v>
      </c>
      <c r="C23" s="12">
        <f t="shared" si="0"/>
        <v>147.5</v>
      </c>
      <c r="D23" s="12">
        <f t="shared" si="1"/>
        <v>290</v>
      </c>
      <c r="E23" s="13">
        <f t="shared" si="2"/>
        <v>0.50862068965517238</v>
      </c>
      <c r="F23" s="14">
        <f t="shared" si="6"/>
        <v>16.5</v>
      </c>
      <c r="H23">
        <v>8</v>
      </c>
      <c r="I23">
        <v>13</v>
      </c>
      <c r="J23">
        <v>11</v>
      </c>
      <c r="K23">
        <v>11</v>
      </c>
      <c r="L23">
        <v>10</v>
      </c>
      <c r="M23">
        <v>12</v>
      </c>
      <c r="N23">
        <v>10.5</v>
      </c>
      <c r="O23">
        <v>9.5</v>
      </c>
      <c r="P23">
        <v>8</v>
      </c>
      <c r="Q23">
        <v>13.5</v>
      </c>
      <c r="R23">
        <v>10</v>
      </c>
      <c r="S23">
        <v>10</v>
      </c>
      <c r="T23">
        <v>8</v>
      </c>
      <c r="U23">
        <v>5</v>
      </c>
      <c r="V23">
        <v>8</v>
      </c>
      <c r="W23" s="4">
        <f t="shared" si="4"/>
        <v>147.5</v>
      </c>
      <c r="Y23">
        <v>0</v>
      </c>
      <c r="Z23">
        <v>2</v>
      </c>
      <c r="AA23">
        <v>2</v>
      </c>
      <c r="AB23">
        <v>2</v>
      </c>
      <c r="AC23">
        <v>1</v>
      </c>
      <c r="AD23">
        <v>2</v>
      </c>
      <c r="AE23">
        <v>0.5</v>
      </c>
      <c r="AF23">
        <v>1</v>
      </c>
      <c r="AG23">
        <v>0</v>
      </c>
      <c r="AH23">
        <v>2</v>
      </c>
      <c r="AI23">
        <v>1</v>
      </c>
      <c r="AJ23">
        <v>0</v>
      </c>
      <c r="AK23">
        <v>1</v>
      </c>
      <c r="AL23">
        <v>1</v>
      </c>
      <c r="AM23">
        <v>1</v>
      </c>
      <c r="AN23" s="4">
        <f t="shared" si="5"/>
        <v>16.5</v>
      </c>
    </row>
    <row r="24" spans="1:40" x14ac:dyDescent="0.25">
      <c r="A24" s="1" t="s">
        <v>132</v>
      </c>
      <c r="B24" s="11" t="s">
        <v>42</v>
      </c>
      <c r="C24" s="12">
        <f t="shared" si="0"/>
        <v>147.5</v>
      </c>
      <c r="D24" s="12">
        <f t="shared" si="1"/>
        <v>290</v>
      </c>
      <c r="E24" s="13">
        <f t="shared" si="2"/>
        <v>0.50862068965517238</v>
      </c>
      <c r="F24" s="14">
        <f t="shared" si="6"/>
        <v>15</v>
      </c>
      <c r="H24">
        <v>8</v>
      </c>
      <c r="I24">
        <v>11</v>
      </c>
      <c r="J24">
        <v>10</v>
      </c>
      <c r="K24">
        <v>12</v>
      </c>
      <c r="L24">
        <v>13</v>
      </c>
      <c r="M24">
        <v>9</v>
      </c>
      <c r="N24">
        <v>10.5</v>
      </c>
      <c r="O24">
        <v>8.5</v>
      </c>
      <c r="P24">
        <v>10</v>
      </c>
      <c r="Q24">
        <v>10.5</v>
      </c>
      <c r="R24">
        <v>12</v>
      </c>
      <c r="S24">
        <v>12</v>
      </c>
      <c r="T24">
        <v>8</v>
      </c>
      <c r="U24">
        <v>4</v>
      </c>
      <c r="V24">
        <v>9</v>
      </c>
      <c r="W24" s="4">
        <f t="shared" si="4"/>
        <v>147.5</v>
      </c>
      <c r="Y24">
        <v>0</v>
      </c>
      <c r="Z24">
        <v>0</v>
      </c>
      <c r="AA24">
        <v>2</v>
      </c>
      <c r="AB24">
        <v>0.5</v>
      </c>
      <c r="AC24">
        <v>2</v>
      </c>
      <c r="AD24">
        <v>1</v>
      </c>
      <c r="AE24">
        <v>0.5</v>
      </c>
      <c r="AF24">
        <v>1</v>
      </c>
      <c r="AG24">
        <v>1</v>
      </c>
      <c r="AH24">
        <v>0</v>
      </c>
      <c r="AI24">
        <v>1</v>
      </c>
      <c r="AJ24">
        <v>1</v>
      </c>
      <c r="AK24">
        <v>1</v>
      </c>
      <c r="AL24">
        <v>2</v>
      </c>
      <c r="AM24">
        <v>2</v>
      </c>
      <c r="AN24" s="4">
        <f t="shared" si="5"/>
        <v>15</v>
      </c>
    </row>
    <row r="25" spans="1:40" x14ac:dyDescent="0.25">
      <c r="A25" s="1" t="s">
        <v>133</v>
      </c>
      <c r="B25" s="11" t="s">
        <v>56</v>
      </c>
      <c r="C25" s="12">
        <f t="shared" si="0"/>
        <v>146.5</v>
      </c>
      <c r="D25" s="12">
        <f t="shared" si="1"/>
        <v>290</v>
      </c>
      <c r="E25" s="13">
        <f t="shared" si="2"/>
        <v>0.5051724137931034</v>
      </c>
      <c r="F25" s="14">
        <f t="shared" si="6"/>
        <v>18</v>
      </c>
      <c r="H25">
        <v>10</v>
      </c>
      <c r="I25">
        <v>11</v>
      </c>
      <c r="J25">
        <v>10</v>
      </c>
      <c r="K25">
        <v>10</v>
      </c>
      <c r="L25">
        <v>11</v>
      </c>
      <c r="M25">
        <v>7</v>
      </c>
      <c r="N25">
        <v>10.5</v>
      </c>
      <c r="O25">
        <v>8.5</v>
      </c>
      <c r="P25">
        <v>8</v>
      </c>
      <c r="Q25">
        <v>13.5</v>
      </c>
      <c r="R25">
        <v>11</v>
      </c>
      <c r="S25">
        <v>14</v>
      </c>
      <c r="T25">
        <v>8</v>
      </c>
      <c r="U25">
        <v>5</v>
      </c>
      <c r="V25">
        <v>9</v>
      </c>
      <c r="W25" s="4">
        <f t="shared" si="4"/>
        <v>146.5</v>
      </c>
      <c r="Y25">
        <v>1</v>
      </c>
      <c r="Z25">
        <v>2</v>
      </c>
      <c r="AA25">
        <v>1</v>
      </c>
      <c r="AB25">
        <v>2</v>
      </c>
      <c r="AC25">
        <v>2</v>
      </c>
      <c r="AD25">
        <v>0</v>
      </c>
      <c r="AE25">
        <v>1</v>
      </c>
      <c r="AF25">
        <v>1</v>
      </c>
      <c r="AG25">
        <v>2</v>
      </c>
      <c r="AH25">
        <v>1</v>
      </c>
      <c r="AI25">
        <v>1</v>
      </c>
      <c r="AJ25">
        <v>2</v>
      </c>
      <c r="AK25">
        <v>0</v>
      </c>
      <c r="AL25">
        <v>1</v>
      </c>
      <c r="AM25">
        <v>1</v>
      </c>
      <c r="AN25" s="4">
        <f t="shared" si="5"/>
        <v>18</v>
      </c>
    </row>
    <row r="26" spans="1:40" x14ac:dyDescent="0.25">
      <c r="A26" s="1" t="s">
        <v>134</v>
      </c>
      <c r="B26" s="11" t="s">
        <v>41</v>
      </c>
      <c r="C26" s="12">
        <f t="shared" si="0"/>
        <v>146.5</v>
      </c>
      <c r="D26" s="12">
        <f t="shared" si="1"/>
        <v>290</v>
      </c>
      <c r="E26" s="13">
        <f t="shared" si="2"/>
        <v>0.5051724137931034</v>
      </c>
      <c r="F26" s="14">
        <f t="shared" si="6"/>
        <v>16</v>
      </c>
      <c r="H26">
        <v>12</v>
      </c>
      <c r="I26">
        <v>12</v>
      </c>
      <c r="J26">
        <v>6</v>
      </c>
      <c r="K26">
        <v>14</v>
      </c>
      <c r="L26">
        <v>11</v>
      </c>
      <c r="M26">
        <v>9</v>
      </c>
      <c r="N26">
        <v>11.5</v>
      </c>
      <c r="O26">
        <v>9.5</v>
      </c>
      <c r="P26">
        <v>9</v>
      </c>
      <c r="Q26">
        <v>7.5</v>
      </c>
      <c r="R26">
        <v>9</v>
      </c>
      <c r="S26">
        <v>9</v>
      </c>
      <c r="T26">
        <v>11</v>
      </c>
      <c r="U26">
        <v>5</v>
      </c>
      <c r="V26">
        <v>11</v>
      </c>
      <c r="W26" s="4">
        <f t="shared" si="4"/>
        <v>146.5</v>
      </c>
      <c r="Y26">
        <v>1</v>
      </c>
      <c r="Z26">
        <v>1</v>
      </c>
      <c r="AA26">
        <v>0</v>
      </c>
      <c r="AB26">
        <v>2</v>
      </c>
      <c r="AC26">
        <v>2</v>
      </c>
      <c r="AD26">
        <v>0</v>
      </c>
      <c r="AE26">
        <v>1</v>
      </c>
      <c r="AF26">
        <v>1</v>
      </c>
      <c r="AG26">
        <v>1</v>
      </c>
      <c r="AH26">
        <v>1</v>
      </c>
      <c r="AI26">
        <v>0</v>
      </c>
      <c r="AJ26">
        <v>2</v>
      </c>
      <c r="AK26">
        <v>1</v>
      </c>
      <c r="AL26">
        <v>1</v>
      </c>
      <c r="AM26">
        <v>2</v>
      </c>
      <c r="AN26" s="4">
        <f t="shared" si="5"/>
        <v>16</v>
      </c>
    </row>
    <row r="27" spans="1:40" x14ac:dyDescent="0.25">
      <c r="A27" s="1" t="s">
        <v>135</v>
      </c>
      <c r="B27" s="11" t="s">
        <v>62</v>
      </c>
      <c r="C27" s="12">
        <f t="shared" si="0"/>
        <v>145.5</v>
      </c>
      <c r="D27" s="12">
        <f t="shared" si="1"/>
        <v>290</v>
      </c>
      <c r="E27" s="13">
        <f t="shared" si="2"/>
        <v>0.50172413793103443</v>
      </c>
      <c r="F27" s="14">
        <f t="shared" si="6"/>
        <v>19</v>
      </c>
      <c r="H27">
        <v>11</v>
      </c>
      <c r="I27">
        <v>12</v>
      </c>
      <c r="J27">
        <v>13</v>
      </c>
      <c r="K27">
        <v>11</v>
      </c>
      <c r="L27">
        <v>9</v>
      </c>
      <c r="M27">
        <v>7</v>
      </c>
      <c r="N27">
        <v>9.5</v>
      </c>
      <c r="O27">
        <v>10.5</v>
      </c>
      <c r="P27">
        <v>9</v>
      </c>
      <c r="Q27">
        <v>10.5</v>
      </c>
      <c r="R27">
        <v>11</v>
      </c>
      <c r="S27">
        <v>10</v>
      </c>
      <c r="T27">
        <v>9</v>
      </c>
      <c r="U27">
        <v>5</v>
      </c>
      <c r="V27">
        <v>8</v>
      </c>
      <c r="W27" s="4">
        <f t="shared" si="4"/>
        <v>145.5</v>
      </c>
      <c r="Y27">
        <v>2</v>
      </c>
      <c r="Z27">
        <v>1</v>
      </c>
      <c r="AA27">
        <v>1</v>
      </c>
      <c r="AB27">
        <v>2</v>
      </c>
      <c r="AC27">
        <v>0</v>
      </c>
      <c r="AD27">
        <v>1</v>
      </c>
      <c r="AE27">
        <v>0.5</v>
      </c>
      <c r="AF27">
        <v>1</v>
      </c>
      <c r="AG27">
        <v>2</v>
      </c>
      <c r="AH27">
        <v>0.5</v>
      </c>
      <c r="AI27">
        <v>2</v>
      </c>
      <c r="AJ27">
        <v>2</v>
      </c>
      <c r="AK27">
        <v>2</v>
      </c>
      <c r="AL27">
        <v>2</v>
      </c>
      <c r="AM27">
        <v>0</v>
      </c>
      <c r="AN27" s="4">
        <f t="shared" si="5"/>
        <v>19</v>
      </c>
    </row>
    <row r="28" spans="1:40" x14ac:dyDescent="0.25">
      <c r="A28" s="1" t="s">
        <v>136</v>
      </c>
      <c r="B28" s="11" t="s">
        <v>46</v>
      </c>
      <c r="C28" s="12">
        <f t="shared" si="0"/>
        <v>145.5</v>
      </c>
      <c r="D28" s="12">
        <f t="shared" si="1"/>
        <v>290</v>
      </c>
      <c r="E28" s="13">
        <f t="shared" si="2"/>
        <v>0.50172413793103443</v>
      </c>
      <c r="F28" s="14">
        <f t="shared" si="6"/>
        <v>15</v>
      </c>
      <c r="H28">
        <v>7</v>
      </c>
      <c r="I28">
        <v>11</v>
      </c>
      <c r="J28">
        <v>9</v>
      </c>
      <c r="K28">
        <v>13</v>
      </c>
      <c r="L28">
        <v>14</v>
      </c>
      <c r="M28">
        <v>9</v>
      </c>
      <c r="N28">
        <v>8.5</v>
      </c>
      <c r="O28">
        <v>9.5</v>
      </c>
      <c r="P28">
        <v>11</v>
      </c>
      <c r="Q28">
        <v>8.5</v>
      </c>
      <c r="R28">
        <v>9</v>
      </c>
      <c r="S28">
        <v>13</v>
      </c>
      <c r="T28">
        <v>11</v>
      </c>
      <c r="U28">
        <v>4</v>
      </c>
      <c r="V28">
        <v>8</v>
      </c>
      <c r="W28" s="4">
        <f t="shared" si="4"/>
        <v>145.5</v>
      </c>
      <c r="Y28">
        <v>0</v>
      </c>
      <c r="Z28">
        <v>0</v>
      </c>
      <c r="AA28">
        <v>1</v>
      </c>
      <c r="AB28">
        <v>1</v>
      </c>
      <c r="AC28">
        <v>0</v>
      </c>
      <c r="AD28">
        <v>1</v>
      </c>
      <c r="AE28">
        <v>1</v>
      </c>
      <c r="AF28">
        <v>0</v>
      </c>
      <c r="AG28">
        <v>1</v>
      </c>
      <c r="AH28">
        <v>2</v>
      </c>
      <c r="AI28">
        <v>2</v>
      </c>
      <c r="AJ28">
        <v>1</v>
      </c>
      <c r="AK28">
        <v>2</v>
      </c>
      <c r="AL28">
        <v>1</v>
      </c>
      <c r="AM28">
        <v>2</v>
      </c>
      <c r="AN28" s="4">
        <f t="shared" si="5"/>
        <v>15</v>
      </c>
    </row>
    <row r="29" spans="1:40" x14ac:dyDescent="0.25">
      <c r="A29" s="1" t="s">
        <v>137</v>
      </c>
      <c r="B29" s="11" t="s">
        <v>48</v>
      </c>
      <c r="C29" s="12">
        <f t="shared" si="0"/>
        <v>145.5</v>
      </c>
      <c r="D29" s="12">
        <f t="shared" si="1"/>
        <v>290</v>
      </c>
      <c r="E29" s="13">
        <f t="shared" si="2"/>
        <v>0.50172413793103443</v>
      </c>
      <c r="F29" s="14">
        <f t="shared" si="6"/>
        <v>13</v>
      </c>
      <c r="H29">
        <v>8</v>
      </c>
      <c r="I29">
        <v>10</v>
      </c>
      <c r="J29">
        <v>12</v>
      </c>
      <c r="K29">
        <v>14</v>
      </c>
      <c r="L29">
        <v>12</v>
      </c>
      <c r="M29">
        <v>12</v>
      </c>
      <c r="N29">
        <v>7.5</v>
      </c>
      <c r="O29">
        <v>5.5</v>
      </c>
      <c r="P29">
        <v>9</v>
      </c>
      <c r="Q29">
        <v>9.5</v>
      </c>
      <c r="R29">
        <v>8</v>
      </c>
      <c r="S29">
        <v>13</v>
      </c>
      <c r="T29">
        <v>12</v>
      </c>
      <c r="U29">
        <v>5</v>
      </c>
      <c r="V29">
        <v>8</v>
      </c>
      <c r="W29" s="4">
        <f t="shared" si="4"/>
        <v>145.5</v>
      </c>
      <c r="Y29">
        <v>1</v>
      </c>
      <c r="Z29">
        <v>0</v>
      </c>
      <c r="AA29">
        <v>2</v>
      </c>
      <c r="AB29">
        <v>1</v>
      </c>
      <c r="AC29">
        <v>1</v>
      </c>
      <c r="AD29">
        <v>0</v>
      </c>
      <c r="AE29">
        <v>1</v>
      </c>
      <c r="AF29">
        <v>1</v>
      </c>
      <c r="AG29">
        <v>0</v>
      </c>
      <c r="AH29">
        <v>1</v>
      </c>
      <c r="AI29">
        <v>1</v>
      </c>
      <c r="AJ29">
        <v>2</v>
      </c>
      <c r="AK29">
        <v>1</v>
      </c>
      <c r="AL29">
        <v>1</v>
      </c>
      <c r="AM29">
        <v>0</v>
      </c>
      <c r="AN29" s="4">
        <f t="shared" si="5"/>
        <v>13</v>
      </c>
    </row>
    <row r="30" spans="1:40" x14ac:dyDescent="0.25">
      <c r="A30" s="1" t="s">
        <v>138</v>
      </c>
      <c r="B30" s="11" t="s">
        <v>57</v>
      </c>
      <c r="C30" s="12">
        <f t="shared" si="0"/>
        <v>144.5</v>
      </c>
      <c r="D30" s="12">
        <f t="shared" si="1"/>
        <v>290</v>
      </c>
      <c r="E30" s="13">
        <f t="shared" si="2"/>
        <v>0.49827586206896551</v>
      </c>
      <c r="F30" s="14">
        <f t="shared" si="6"/>
        <v>14</v>
      </c>
      <c r="H30">
        <v>9</v>
      </c>
      <c r="I30">
        <v>13</v>
      </c>
      <c r="J30">
        <v>9</v>
      </c>
      <c r="K30">
        <v>11</v>
      </c>
      <c r="L30">
        <v>14</v>
      </c>
      <c r="M30">
        <v>10</v>
      </c>
      <c r="N30">
        <v>10.5</v>
      </c>
      <c r="O30">
        <v>5.5</v>
      </c>
      <c r="P30">
        <v>8</v>
      </c>
      <c r="Q30">
        <v>8.5</v>
      </c>
      <c r="R30">
        <v>7</v>
      </c>
      <c r="S30">
        <v>13</v>
      </c>
      <c r="T30">
        <v>11</v>
      </c>
      <c r="U30">
        <v>4</v>
      </c>
      <c r="V30">
        <v>11</v>
      </c>
      <c r="W30" s="4">
        <f t="shared" si="4"/>
        <v>144.5</v>
      </c>
      <c r="Y30">
        <v>1</v>
      </c>
      <c r="Z30">
        <v>1</v>
      </c>
      <c r="AA30">
        <v>1</v>
      </c>
      <c r="AB30">
        <v>1.5</v>
      </c>
      <c r="AC30">
        <v>2</v>
      </c>
      <c r="AD30">
        <v>1</v>
      </c>
      <c r="AE30">
        <v>1</v>
      </c>
      <c r="AF30">
        <v>0.5</v>
      </c>
      <c r="AG30">
        <v>1</v>
      </c>
      <c r="AH30">
        <v>1</v>
      </c>
      <c r="AI30">
        <v>1</v>
      </c>
      <c r="AJ30">
        <v>0</v>
      </c>
      <c r="AK30">
        <v>1</v>
      </c>
      <c r="AL30">
        <v>1</v>
      </c>
      <c r="AM30">
        <v>0</v>
      </c>
      <c r="AN30" s="4">
        <f t="shared" si="5"/>
        <v>14</v>
      </c>
    </row>
    <row r="31" spans="1:40" x14ac:dyDescent="0.25">
      <c r="A31" s="1" t="s">
        <v>139</v>
      </c>
      <c r="B31" s="11" t="s">
        <v>60</v>
      </c>
      <c r="C31" s="12">
        <f t="shared" si="0"/>
        <v>144.5</v>
      </c>
      <c r="D31" s="12">
        <f t="shared" si="1"/>
        <v>290</v>
      </c>
      <c r="E31" s="13">
        <f t="shared" si="2"/>
        <v>0.49827586206896551</v>
      </c>
      <c r="F31" s="14">
        <f t="shared" si="6"/>
        <v>12</v>
      </c>
      <c r="H31">
        <v>7</v>
      </c>
      <c r="I31">
        <v>14</v>
      </c>
      <c r="J31">
        <v>10</v>
      </c>
      <c r="K31">
        <v>12</v>
      </c>
      <c r="L31">
        <v>12</v>
      </c>
      <c r="M31">
        <v>13</v>
      </c>
      <c r="N31">
        <v>5.5</v>
      </c>
      <c r="O31">
        <v>10.5</v>
      </c>
      <c r="P31">
        <v>10</v>
      </c>
      <c r="Q31">
        <v>10.5</v>
      </c>
      <c r="R31">
        <v>9</v>
      </c>
      <c r="S31">
        <v>11</v>
      </c>
      <c r="T31">
        <v>8</v>
      </c>
      <c r="U31">
        <v>3</v>
      </c>
      <c r="V31">
        <v>9</v>
      </c>
      <c r="W31" s="4">
        <f t="shared" si="4"/>
        <v>144.5</v>
      </c>
      <c r="Y31">
        <v>0</v>
      </c>
      <c r="Z31">
        <v>2</v>
      </c>
      <c r="AA31">
        <v>0</v>
      </c>
      <c r="AB31">
        <v>0.5</v>
      </c>
      <c r="AC31">
        <v>1</v>
      </c>
      <c r="AD31">
        <v>1</v>
      </c>
      <c r="AE31">
        <v>0.5</v>
      </c>
      <c r="AF31">
        <v>0</v>
      </c>
      <c r="AG31">
        <v>1</v>
      </c>
      <c r="AH31">
        <v>2</v>
      </c>
      <c r="AI31">
        <v>0</v>
      </c>
      <c r="AJ31">
        <v>2</v>
      </c>
      <c r="AK31">
        <v>0</v>
      </c>
      <c r="AL31">
        <v>2</v>
      </c>
      <c r="AM31">
        <v>0</v>
      </c>
      <c r="AN31" s="4">
        <f t="shared" si="5"/>
        <v>12</v>
      </c>
    </row>
    <row r="32" spans="1:40" x14ac:dyDescent="0.25">
      <c r="A32" s="1" t="s">
        <v>140</v>
      </c>
      <c r="B32" s="11" t="s">
        <v>38</v>
      </c>
      <c r="C32" s="12">
        <f t="shared" si="0"/>
        <v>144.5</v>
      </c>
      <c r="D32" s="12">
        <f t="shared" si="1"/>
        <v>290</v>
      </c>
      <c r="E32" s="13">
        <f t="shared" si="2"/>
        <v>0.49827586206896551</v>
      </c>
      <c r="F32" s="14">
        <f t="shared" si="6"/>
        <v>8</v>
      </c>
      <c r="H32">
        <v>12</v>
      </c>
      <c r="I32">
        <v>10</v>
      </c>
      <c r="J32">
        <v>10</v>
      </c>
      <c r="K32">
        <v>11</v>
      </c>
      <c r="L32">
        <v>12</v>
      </c>
      <c r="M32">
        <v>12</v>
      </c>
      <c r="N32">
        <v>7.5</v>
      </c>
      <c r="O32">
        <v>12.5</v>
      </c>
      <c r="P32">
        <v>9</v>
      </c>
      <c r="Q32">
        <v>8.5</v>
      </c>
      <c r="R32">
        <v>11</v>
      </c>
      <c r="S32">
        <v>11</v>
      </c>
      <c r="T32">
        <v>11</v>
      </c>
      <c r="U32">
        <v>2</v>
      </c>
      <c r="V32">
        <v>5</v>
      </c>
      <c r="W32" s="4">
        <f t="shared" si="4"/>
        <v>144.5</v>
      </c>
      <c r="Y32">
        <v>0</v>
      </c>
      <c r="Z32">
        <v>0</v>
      </c>
      <c r="AA32">
        <v>1</v>
      </c>
      <c r="AB32">
        <v>0.5</v>
      </c>
      <c r="AC32">
        <v>2</v>
      </c>
      <c r="AD32">
        <v>1</v>
      </c>
      <c r="AE32">
        <v>0.5</v>
      </c>
      <c r="AF32">
        <v>1</v>
      </c>
      <c r="AG32">
        <v>0</v>
      </c>
      <c r="AH32">
        <v>0</v>
      </c>
      <c r="AI32">
        <v>0</v>
      </c>
      <c r="AJ32">
        <v>1</v>
      </c>
      <c r="AK32">
        <v>1</v>
      </c>
      <c r="AL32">
        <v>0</v>
      </c>
      <c r="AM32">
        <v>0</v>
      </c>
      <c r="AN32" s="4">
        <f t="shared" si="5"/>
        <v>8</v>
      </c>
    </row>
    <row r="33" spans="1:40" x14ac:dyDescent="0.25">
      <c r="A33" s="1" t="s">
        <v>141</v>
      </c>
      <c r="B33" s="11" t="s">
        <v>198</v>
      </c>
      <c r="C33" s="12">
        <f t="shared" si="0"/>
        <v>143.5</v>
      </c>
      <c r="D33" s="12">
        <f t="shared" si="1"/>
        <v>290</v>
      </c>
      <c r="E33" s="13">
        <f t="shared" si="2"/>
        <v>0.49482758620689654</v>
      </c>
      <c r="F33" s="14">
        <f t="shared" si="6"/>
        <v>14</v>
      </c>
      <c r="H33">
        <v>10</v>
      </c>
      <c r="I33">
        <v>12</v>
      </c>
      <c r="J33">
        <v>11</v>
      </c>
      <c r="K33">
        <v>13</v>
      </c>
      <c r="L33">
        <v>10</v>
      </c>
      <c r="M33">
        <v>9</v>
      </c>
      <c r="N33">
        <v>12.5</v>
      </c>
      <c r="O33">
        <v>7.5</v>
      </c>
      <c r="P33">
        <v>10</v>
      </c>
      <c r="Q33">
        <v>9.5</v>
      </c>
      <c r="R33">
        <v>9</v>
      </c>
      <c r="S33">
        <v>12</v>
      </c>
      <c r="T33">
        <v>9</v>
      </c>
      <c r="U33">
        <v>3</v>
      </c>
      <c r="V33">
        <v>6</v>
      </c>
      <c r="W33" s="4">
        <f t="shared" si="4"/>
        <v>143.5</v>
      </c>
      <c r="Y33">
        <v>1</v>
      </c>
      <c r="Z33">
        <v>0</v>
      </c>
      <c r="AA33">
        <v>0</v>
      </c>
      <c r="AB33">
        <v>2</v>
      </c>
      <c r="AC33">
        <v>1</v>
      </c>
      <c r="AD33">
        <v>0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2</v>
      </c>
      <c r="AN33" s="4">
        <f t="shared" si="5"/>
        <v>14</v>
      </c>
    </row>
    <row r="34" spans="1:40" x14ac:dyDescent="0.25">
      <c r="A34" s="1" t="s">
        <v>142</v>
      </c>
      <c r="B34" s="11" t="s">
        <v>196</v>
      </c>
      <c r="C34" s="12">
        <f t="shared" si="0"/>
        <v>139.5</v>
      </c>
      <c r="D34" s="12">
        <f t="shared" si="1"/>
        <v>290</v>
      </c>
      <c r="E34" s="13">
        <f t="shared" si="2"/>
        <v>0.48103448275862071</v>
      </c>
      <c r="F34" s="14">
        <f t="shared" si="6"/>
        <v>15</v>
      </c>
      <c r="H34">
        <v>8</v>
      </c>
      <c r="I34">
        <v>8</v>
      </c>
      <c r="J34">
        <v>11</v>
      </c>
      <c r="K34">
        <v>10</v>
      </c>
      <c r="L34">
        <v>7</v>
      </c>
      <c r="M34">
        <v>11</v>
      </c>
      <c r="N34">
        <v>11.5</v>
      </c>
      <c r="O34">
        <v>9.5</v>
      </c>
      <c r="P34">
        <v>10</v>
      </c>
      <c r="Q34">
        <v>8.5</v>
      </c>
      <c r="R34">
        <v>9</v>
      </c>
      <c r="S34">
        <v>11</v>
      </c>
      <c r="T34">
        <v>10</v>
      </c>
      <c r="U34">
        <v>5</v>
      </c>
      <c r="V34">
        <v>10</v>
      </c>
      <c r="W34" s="4">
        <f t="shared" si="4"/>
        <v>139.5</v>
      </c>
      <c r="Y34">
        <v>0</v>
      </c>
      <c r="Z34">
        <v>2</v>
      </c>
      <c r="AA34">
        <v>2</v>
      </c>
      <c r="AB34">
        <v>2</v>
      </c>
      <c r="AC34">
        <v>1</v>
      </c>
      <c r="AD34">
        <v>0</v>
      </c>
      <c r="AE34">
        <v>0</v>
      </c>
      <c r="AF34">
        <v>1</v>
      </c>
      <c r="AG34">
        <v>2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0</v>
      </c>
      <c r="AN34" s="4">
        <f t="shared" si="5"/>
        <v>15</v>
      </c>
    </row>
    <row r="35" spans="1:40" x14ac:dyDescent="0.25">
      <c r="A35" s="1" t="s">
        <v>143</v>
      </c>
      <c r="B35" s="11" t="s">
        <v>61</v>
      </c>
      <c r="C35" s="12">
        <f t="shared" si="0"/>
        <v>136.5</v>
      </c>
      <c r="D35" s="12">
        <f t="shared" si="1"/>
        <v>290</v>
      </c>
      <c r="E35" s="13">
        <f t="shared" si="2"/>
        <v>0.47068965517241379</v>
      </c>
      <c r="F35" s="14">
        <f t="shared" si="6"/>
        <v>18.5</v>
      </c>
      <c r="H35">
        <v>6</v>
      </c>
      <c r="I35">
        <v>11</v>
      </c>
      <c r="J35">
        <v>10</v>
      </c>
      <c r="K35">
        <v>14</v>
      </c>
      <c r="L35">
        <v>11</v>
      </c>
      <c r="M35">
        <v>10</v>
      </c>
      <c r="N35">
        <v>8.5</v>
      </c>
      <c r="O35">
        <v>5.5</v>
      </c>
      <c r="P35">
        <v>5</v>
      </c>
      <c r="Q35">
        <v>8.5</v>
      </c>
      <c r="R35">
        <v>12</v>
      </c>
      <c r="S35">
        <v>10</v>
      </c>
      <c r="T35">
        <v>9</v>
      </c>
      <c r="U35">
        <v>5</v>
      </c>
      <c r="V35">
        <v>11</v>
      </c>
      <c r="W35" s="4">
        <f t="shared" si="4"/>
        <v>136.5</v>
      </c>
      <c r="Y35">
        <v>1</v>
      </c>
      <c r="Z35">
        <v>2</v>
      </c>
      <c r="AA35">
        <v>2</v>
      </c>
      <c r="AB35">
        <v>1.5</v>
      </c>
      <c r="AC35">
        <v>1</v>
      </c>
      <c r="AD35">
        <v>1</v>
      </c>
      <c r="AE35">
        <v>2</v>
      </c>
      <c r="AF35">
        <v>2</v>
      </c>
      <c r="AG35">
        <v>0</v>
      </c>
      <c r="AH35">
        <v>1</v>
      </c>
      <c r="AI35">
        <v>0</v>
      </c>
      <c r="AJ35">
        <v>1</v>
      </c>
      <c r="AK35">
        <v>1</v>
      </c>
      <c r="AL35">
        <v>2</v>
      </c>
      <c r="AM35">
        <v>1</v>
      </c>
      <c r="AN35" s="4">
        <f t="shared" si="5"/>
        <v>18.5</v>
      </c>
    </row>
    <row r="36" spans="1:40" x14ac:dyDescent="0.25">
      <c r="A36" s="1" t="s">
        <v>144</v>
      </c>
      <c r="B36" s="11" t="s">
        <v>216</v>
      </c>
      <c r="C36" s="12">
        <f t="shared" si="0"/>
        <v>132.5</v>
      </c>
      <c r="D36" s="12">
        <f t="shared" si="1"/>
        <v>290</v>
      </c>
      <c r="E36" s="13">
        <f t="shared" si="2"/>
        <v>0.45689655172413796</v>
      </c>
      <c r="F36" s="14">
        <f t="shared" si="6"/>
        <v>12</v>
      </c>
      <c r="H36">
        <v>9</v>
      </c>
      <c r="I36">
        <v>9</v>
      </c>
      <c r="J36">
        <v>6</v>
      </c>
      <c r="K36">
        <v>11</v>
      </c>
      <c r="L36">
        <v>8</v>
      </c>
      <c r="M36">
        <v>7</v>
      </c>
      <c r="N36">
        <v>11.5</v>
      </c>
      <c r="O36">
        <v>10.5</v>
      </c>
      <c r="P36">
        <v>9</v>
      </c>
      <c r="Q36">
        <v>9.5</v>
      </c>
      <c r="R36">
        <v>9</v>
      </c>
      <c r="S36">
        <v>9</v>
      </c>
      <c r="T36">
        <v>10</v>
      </c>
      <c r="U36">
        <v>4</v>
      </c>
      <c r="V36">
        <v>10</v>
      </c>
      <c r="W36" s="4">
        <f t="shared" si="4"/>
        <v>132.5</v>
      </c>
      <c r="Y36">
        <v>0</v>
      </c>
      <c r="Z36">
        <v>0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0</v>
      </c>
      <c r="AG36">
        <v>0</v>
      </c>
      <c r="AH36">
        <v>2</v>
      </c>
      <c r="AI36">
        <v>2</v>
      </c>
      <c r="AJ36">
        <v>0</v>
      </c>
      <c r="AK36">
        <v>1</v>
      </c>
      <c r="AL36">
        <v>1</v>
      </c>
      <c r="AM36">
        <v>1</v>
      </c>
      <c r="AN36" s="4">
        <f t="shared" si="5"/>
        <v>12</v>
      </c>
    </row>
    <row r="37" spans="1:40" x14ac:dyDescent="0.25">
      <c r="A37" s="1" t="s">
        <v>370</v>
      </c>
      <c r="B37" s="11" t="s">
        <v>224</v>
      </c>
      <c r="C37" s="12">
        <f t="shared" si="0"/>
        <v>102.5</v>
      </c>
      <c r="D37" s="12">
        <f>$W$41-$H$41-$I$41-$J$41-$K$41-$L$41</f>
        <v>190</v>
      </c>
      <c r="E37" s="13">
        <f t="shared" si="2"/>
        <v>0.53947368421052633</v>
      </c>
      <c r="F37" s="14">
        <f t="shared" si="6"/>
        <v>11</v>
      </c>
      <c r="H37" s="15" t="s">
        <v>63</v>
      </c>
      <c r="I37" s="15" t="s">
        <v>63</v>
      </c>
      <c r="J37" s="15" t="s">
        <v>63</v>
      </c>
      <c r="K37" s="15" t="s">
        <v>63</v>
      </c>
      <c r="L37" s="15" t="s">
        <v>63</v>
      </c>
      <c r="M37">
        <v>13</v>
      </c>
      <c r="N37">
        <v>11.5</v>
      </c>
      <c r="O37">
        <v>8.5</v>
      </c>
      <c r="P37">
        <v>10</v>
      </c>
      <c r="Q37">
        <v>10.5</v>
      </c>
      <c r="R37">
        <v>8</v>
      </c>
      <c r="S37">
        <v>10</v>
      </c>
      <c r="T37">
        <v>11</v>
      </c>
      <c r="U37">
        <v>3</v>
      </c>
      <c r="V37">
        <v>17</v>
      </c>
      <c r="W37" s="4">
        <f t="shared" si="4"/>
        <v>102.5</v>
      </c>
      <c r="Y37" s="15" t="s">
        <v>63</v>
      </c>
      <c r="Z37" s="15" t="s">
        <v>63</v>
      </c>
      <c r="AA37" s="15" t="s">
        <v>63</v>
      </c>
      <c r="AB37" s="15" t="s">
        <v>63</v>
      </c>
      <c r="AC37" s="15" t="s">
        <v>63</v>
      </c>
      <c r="AD37">
        <v>2</v>
      </c>
      <c r="AE37">
        <v>1</v>
      </c>
      <c r="AF37">
        <v>0</v>
      </c>
      <c r="AG37">
        <v>1</v>
      </c>
      <c r="AH37">
        <v>2</v>
      </c>
      <c r="AI37">
        <v>0</v>
      </c>
      <c r="AJ37">
        <v>1</v>
      </c>
      <c r="AK37">
        <v>1</v>
      </c>
      <c r="AL37">
        <v>0</v>
      </c>
      <c r="AM37">
        <v>3</v>
      </c>
      <c r="AN37" s="4">
        <f t="shared" si="5"/>
        <v>11</v>
      </c>
    </row>
    <row r="38" spans="1:40" x14ac:dyDescent="0.25">
      <c r="A38" s="1" t="s">
        <v>369</v>
      </c>
      <c r="B38" s="11" t="s">
        <v>213</v>
      </c>
      <c r="C38" s="12">
        <f t="shared" si="0"/>
        <v>63</v>
      </c>
      <c r="D38" s="12">
        <f>$W$41-$P$41-$Q$41-$R$41-$S$41-$T$41-$U$41-$V$41</f>
        <v>160</v>
      </c>
      <c r="E38" s="13">
        <f t="shared" si="2"/>
        <v>0.39374999999999999</v>
      </c>
      <c r="F38" s="14">
        <f t="shared" si="6"/>
        <v>2</v>
      </c>
      <c r="H38">
        <v>12</v>
      </c>
      <c r="I38">
        <v>6</v>
      </c>
      <c r="J38">
        <v>12</v>
      </c>
      <c r="K38">
        <v>13</v>
      </c>
      <c r="L38">
        <v>6</v>
      </c>
      <c r="M38">
        <v>5</v>
      </c>
      <c r="N38">
        <v>4.5</v>
      </c>
      <c r="O38">
        <v>4.5</v>
      </c>
      <c r="P38" s="15" t="s">
        <v>63</v>
      </c>
      <c r="Q38" s="15" t="s">
        <v>63</v>
      </c>
      <c r="R38" s="15" t="s">
        <v>63</v>
      </c>
      <c r="S38" s="15" t="s">
        <v>63</v>
      </c>
      <c r="T38" s="15" t="s">
        <v>63</v>
      </c>
      <c r="U38" s="15" t="s">
        <v>63</v>
      </c>
      <c r="V38" s="15" t="s">
        <v>63</v>
      </c>
      <c r="W38" s="4">
        <f t="shared" si="4"/>
        <v>63</v>
      </c>
      <c r="Y38">
        <v>1</v>
      </c>
      <c r="Z38">
        <v>0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0</v>
      </c>
      <c r="AG38" s="15" t="s">
        <v>63</v>
      </c>
      <c r="AH38" s="15" t="s">
        <v>63</v>
      </c>
      <c r="AI38" s="15" t="s">
        <v>63</v>
      </c>
      <c r="AJ38" s="15" t="s">
        <v>63</v>
      </c>
      <c r="AK38" s="15" t="s">
        <v>63</v>
      </c>
      <c r="AL38" s="15" t="s">
        <v>63</v>
      </c>
      <c r="AM38" s="15" t="s">
        <v>63</v>
      </c>
      <c r="AN38" s="4">
        <f t="shared" si="5"/>
        <v>2</v>
      </c>
    </row>
    <row r="39" spans="1:40" x14ac:dyDescent="0.25">
      <c r="B39" s="16"/>
      <c r="C39" s="17"/>
      <c r="D39" s="17"/>
      <c r="E39" s="18"/>
      <c r="F39" s="19"/>
    </row>
    <row r="40" spans="1:40" ht="15.75" thickBot="1" x14ac:dyDescent="0.3">
      <c r="B40" s="20" t="s">
        <v>106</v>
      </c>
      <c r="C40" s="21">
        <f>W40</f>
        <v>154.5</v>
      </c>
      <c r="D40" s="21">
        <f>$W$41</f>
        <v>290</v>
      </c>
      <c r="E40" s="22">
        <f>C40/D40</f>
        <v>0.53275862068965518</v>
      </c>
      <c r="F40" s="23">
        <f>AN40</f>
        <v>16</v>
      </c>
      <c r="H40">
        <v>10</v>
      </c>
      <c r="I40">
        <v>11</v>
      </c>
      <c r="J40">
        <v>10</v>
      </c>
      <c r="K40">
        <v>15</v>
      </c>
      <c r="L40">
        <v>11</v>
      </c>
      <c r="M40">
        <v>8</v>
      </c>
      <c r="N40">
        <v>10.5</v>
      </c>
      <c r="O40">
        <v>9.5</v>
      </c>
      <c r="P40">
        <v>11</v>
      </c>
      <c r="Q40">
        <v>8.5</v>
      </c>
      <c r="R40">
        <v>10</v>
      </c>
      <c r="S40">
        <v>13</v>
      </c>
      <c r="T40">
        <v>12</v>
      </c>
      <c r="U40">
        <v>5</v>
      </c>
      <c r="V40">
        <v>10</v>
      </c>
      <c r="W40" s="4">
        <f>SUM(H40:V40)</f>
        <v>154.5</v>
      </c>
      <c r="Y40">
        <v>1</v>
      </c>
      <c r="Z40">
        <v>1</v>
      </c>
      <c r="AA40">
        <v>0</v>
      </c>
      <c r="AB40">
        <v>2</v>
      </c>
      <c r="AC40">
        <v>1</v>
      </c>
      <c r="AD40">
        <v>1</v>
      </c>
      <c r="AE40">
        <v>0.5</v>
      </c>
      <c r="AF40">
        <v>2</v>
      </c>
      <c r="AG40">
        <v>0</v>
      </c>
      <c r="AH40">
        <v>2</v>
      </c>
      <c r="AI40">
        <v>0</v>
      </c>
      <c r="AJ40">
        <v>1</v>
      </c>
      <c r="AK40">
        <v>1</v>
      </c>
      <c r="AL40">
        <v>2</v>
      </c>
      <c r="AM40">
        <v>1.5</v>
      </c>
      <c r="AN40" s="4">
        <f>SUM(Y40:AM40)</f>
        <v>16</v>
      </c>
    </row>
    <row r="41" spans="1:40" x14ac:dyDescent="0.25">
      <c r="B41" s="35"/>
      <c r="C41" s="3"/>
      <c r="D41" s="3"/>
      <c r="E41" s="3"/>
      <c r="F41" s="3"/>
      <c r="H41">
        <v>20</v>
      </c>
      <c r="I41">
        <v>20</v>
      </c>
      <c r="J41">
        <v>20</v>
      </c>
      <c r="K41">
        <v>20</v>
      </c>
      <c r="L41">
        <v>20</v>
      </c>
      <c r="M41">
        <v>20</v>
      </c>
      <c r="N41">
        <v>20</v>
      </c>
      <c r="O41">
        <v>20</v>
      </c>
      <c r="P41">
        <v>20</v>
      </c>
      <c r="Q41">
        <v>20</v>
      </c>
      <c r="R41">
        <v>20</v>
      </c>
      <c r="S41">
        <v>20</v>
      </c>
      <c r="T41">
        <v>20</v>
      </c>
      <c r="U41">
        <v>7</v>
      </c>
      <c r="V41">
        <v>23</v>
      </c>
      <c r="W41" s="24">
        <f>SUM(H41:V41)</f>
        <v>290</v>
      </c>
    </row>
    <row r="42" spans="1:40" ht="19.5" thickBot="1" x14ac:dyDescent="0.35">
      <c r="B42" s="2" t="s">
        <v>252</v>
      </c>
      <c r="C42" s="3"/>
      <c r="D42" s="3"/>
      <c r="E42" s="3"/>
      <c r="F42" s="3"/>
    </row>
    <row r="43" spans="1:40" ht="15.75" thickBot="1" x14ac:dyDescent="0.3">
      <c r="A43" s="1">
        <v>1</v>
      </c>
      <c r="B43" s="84" t="s">
        <v>224</v>
      </c>
      <c r="C43" s="85">
        <f>D43/E43</f>
        <v>0.53947368421052633</v>
      </c>
      <c r="D43" s="86">
        <f>VLOOKUP("Seamands, Natalie",$B$3:$F$38,2, FALSE)</f>
        <v>102.5</v>
      </c>
      <c r="E43" s="86">
        <f>VLOOKUP("Seamands, Natalie",$B$3:$F$38,3, FALSE)</f>
        <v>190</v>
      </c>
      <c r="F43" s="87">
        <f>VLOOKUP("Seamands, Natalie",$B$3:$F$38,5, FALSE)</f>
        <v>11</v>
      </c>
    </row>
    <row r="45" spans="1:40" x14ac:dyDescent="0.25">
      <c r="B45" s="25" t="s">
        <v>64</v>
      </c>
      <c r="C45" s="12">
        <f>$W$45</f>
        <v>156.5</v>
      </c>
      <c r="D45" s="12">
        <f>$W$41</f>
        <v>290</v>
      </c>
      <c r="E45" s="13">
        <f>C45/D45</f>
        <v>0.53965517241379313</v>
      </c>
      <c r="F45" s="12" t="s">
        <v>63</v>
      </c>
      <c r="H45">
        <v>10</v>
      </c>
      <c r="I45">
        <v>11</v>
      </c>
      <c r="J45">
        <v>10</v>
      </c>
      <c r="K45">
        <v>15</v>
      </c>
      <c r="L45">
        <v>13</v>
      </c>
      <c r="M45">
        <v>9</v>
      </c>
      <c r="N45">
        <v>11.5</v>
      </c>
      <c r="O45">
        <v>9.5</v>
      </c>
      <c r="P45">
        <v>10</v>
      </c>
      <c r="Q45">
        <v>8.5</v>
      </c>
      <c r="R45">
        <v>9</v>
      </c>
      <c r="S45">
        <v>12</v>
      </c>
      <c r="T45">
        <v>11</v>
      </c>
      <c r="U45">
        <v>4</v>
      </c>
      <c r="V45">
        <v>13</v>
      </c>
      <c r="W45" s="4">
        <f>SUM(H45:V45)</f>
        <v>156.5</v>
      </c>
      <c r="AN45" s="4">
        <f>SUM(Y45:AM45)</f>
        <v>0</v>
      </c>
    </row>
    <row r="47" spans="1:40" x14ac:dyDescent="0.25">
      <c r="B47" s="4" t="s">
        <v>242</v>
      </c>
    </row>
  </sheetData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46"/>
  <sheetViews>
    <sheetView workbookViewId="0">
      <selection activeCell="H1" sqref="H1"/>
    </sheetView>
  </sheetViews>
  <sheetFormatPr defaultColWidth="8.85546875" defaultRowHeight="15" x14ac:dyDescent="0.25"/>
  <cols>
    <col min="1" max="1" width="10" style="1" bestFit="1" customWidth="1"/>
    <col min="2" max="2" width="20" bestFit="1" customWidth="1"/>
    <col min="3" max="3" width="7.42578125" style="9" bestFit="1" customWidth="1"/>
    <col min="4" max="4" width="5.42578125" style="9" bestFit="1" customWidth="1"/>
    <col min="5" max="5" width="7.140625" style="9" bestFit="1" customWidth="1"/>
    <col min="6" max="6" width="8.7109375" style="9" bestFit="1" customWidth="1"/>
    <col min="7" max="7" width="2.7109375" customWidth="1"/>
    <col min="8" max="8" width="5" bestFit="1" customWidth="1"/>
    <col min="9" max="9" width="3.42578125" bestFit="1" customWidth="1"/>
    <col min="10" max="10" width="5" bestFit="1" customWidth="1"/>
    <col min="11" max="12" width="3.42578125" bestFit="1" customWidth="1"/>
    <col min="13" max="14" width="5" bestFit="1" customWidth="1"/>
    <col min="15" max="15" width="3.42578125" bestFit="1" customWidth="1"/>
    <col min="16" max="19" width="5" bestFit="1" customWidth="1"/>
    <col min="20" max="21" width="4.42578125" bestFit="1" customWidth="1"/>
    <col min="22" max="22" width="6.28515625" bestFit="1" customWidth="1"/>
    <col min="23" max="23" width="6" style="4" bestFit="1" customWidth="1"/>
    <col min="24" max="24" width="2.7109375" customWidth="1"/>
    <col min="25" max="29" width="3" bestFit="1" customWidth="1"/>
    <col min="30" max="31" width="4" bestFit="1" customWidth="1"/>
    <col min="32" max="32" width="3" bestFit="1" customWidth="1"/>
    <col min="33" max="38" width="4" bestFit="1" customWidth="1"/>
    <col min="39" max="39" width="6.28515625" bestFit="1" customWidth="1"/>
    <col min="40" max="40" width="5.42578125" style="4" bestFit="1" customWidth="1"/>
  </cols>
  <sheetData>
    <row r="1" spans="1:40" ht="19.5" thickBot="1" x14ac:dyDescent="0.35">
      <c r="B1" s="2" t="s">
        <v>208</v>
      </c>
      <c r="C1" s="3"/>
      <c r="D1" s="3"/>
      <c r="E1" s="3"/>
      <c r="F1" s="3"/>
    </row>
    <row r="2" spans="1:40" s="9" customFormat="1" x14ac:dyDescent="0.25">
      <c r="A2" s="5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20</v>
      </c>
      <c r="W2" s="10" t="s">
        <v>2</v>
      </c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20</v>
      </c>
      <c r="AN2" s="10" t="s">
        <v>2</v>
      </c>
    </row>
    <row r="3" spans="1:40" x14ac:dyDescent="0.25">
      <c r="A3" s="1" t="s">
        <v>111</v>
      </c>
      <c r="B3" s="11" t="s">
        <v>59</v>
      </c>
      <c r="C3" s="12">
        <f t="shared" ref="C3:C36" si="0">W3</f>
        <v>156.5</v>
      </c>
      <c r="D3" s="12">
        <f t="shared" ref="D3:D22" si="1">$W$39</f>
        <v>290</v>
      </c>
      <c r="E3" s="13">
        <f t="shared" ref="E3:E36" si="2">C3/D3</f>
        <v>0.53965517241379313</v>
      </c>
      <c r="F3" s="14">
        <f t="shared" ref="F3:F36" si="3">AN3</f>
        <v>14</v>
      </c>
      <c r="H3">
        <v>12.5</v>
      </c>
      <c r="I3">
        <v>9</v>
      </c>
      <c r="J3">
        <v>10</v>
      </c>
      <c r="K3">
        <v>8</v>
      </c>
      <c r="L3">
        <v>10</v>
      </c>
      <c r="M3">
        <v>10.5</v>
      </c>
      <c r="N3">
        <v>9.5</v>
      </c>
      <c r="O3">
        <v>11</v>
      </c>
      <c r="P3">
        <v>10.5</v>
      </c>
      <c r="Q3">
        <v>11.5</v>
      </c>
      <c r="R3">
        <v>13.5</v>
      </c>
      <c r="S3">
        <v>10.5</v>
      </c>
      <c r="T3">
        <v>13</v>
      </c>
      <c r="U3">
        <v>4</v>
      </c>
      <c r="V3">
        <v>13</v>
      </c>
      <c r="W3" s="4">
        <f t="shared" ref="W3:W36" si="4">SUM(H3:V3)</f>
        <v>156.5</v>
      </c>
      <c r="Y3">
        <v>2</v>
      </c>
      <c r="Z3">
        <v>0</v>
      </c>
      <c r="AA3">
        <v>2</v>
      </c>
      <c r="AB3">
        <v>0</v>
      </c>
      <c r="AC3">
        <v>0</v>
      </c>
      <c r="AD3">
        <v>1</v>
      </c>
      <c r="AE3">
        <v>1.5</v>
      </c>
      <c r="AF3">
        <v>1</v>
      </c>
      <c r="AG3">
        <v>2</v>
      </c>
      <c r="AH3">
        <v>1</v>
      </c>
      <c r="AI3">
        <v>1.5</v>
      </c>
      <c r="AJ3">
        <v>0</v>
      </c>
      <c r="AK3">
        <v>1</v>
      </c>
      <c r="AL3">
        <v>0</v>
      </c>
      <c r="AM3">
        <v>1</v>
      </c>
      <c r="AN3" s="4">
        <f t="shared" ref="AN3:AN36" si="5">SUM(Y3:AM3)</f>
        <v>14</v>
      </c>
    </row>
    <row r="4" spans="1:40" x14ac:dyDescent="0.25">
      <c r="A4" s="1" t="s">
        <v>112</v>
      </c>
      <c r="B4" s="11" t="s">
        <v>42</v>
      </c>
      <c r="C4" s="12">
        <f t="shared" si="0"/>
        <v>152.5</v>
      </c>
      <c r="D4" s="12">
        <f t="shared" si="1"/>
        <v>290</v>
      </c>
      <c r="E4" s="13">
        <f t="shared" si="2"/>
        <v>0.52586206896551724</v>
      </c>
      <c r="F4" s="14">
        <f t="shared" si="3"/>
        <v>19</v>
      </c>
      <c r="H4">
        <v>12.5</v>
      </c>
      <c r="I4">
        <v>6</v>
      </c>
      <c r="J4">
        <v>12</v>
      </c>
      <c r="K4">
        <v>7</v>
      </c>
      <c r="L4">
        <v>10</v>
      </c>
      <c r="M4">
        <v>11.5</v>
      </c>
      <c r="N4">
        <v>8.5</v>
      </c>
      <c r="O4">
        <v>12</v>
      </c>
      <c r="P4">
        <v>15.5</v>
      </c>
      <c r="Q4">
        <v>11.5</v>
      </c>
      <c r="R4">
        <v>10.5</v>
      </c>
      <c r="S4">
        <v>12.5</v>
      </c>
      <c r="T4">
        <v>7</v>
      </c>
      <c r="U4">
        <v>3</v>
      </c>
      <c r="V4">
        <v>13</v>
      </c>
      <c r="W4" s="4">
        <f t="shared" si="4"/>
        <v>152.5</v>
      </c>
      <c r="Y4">
        <v>2</v>
      </c>
      <c r="Z4">
        <v>0</v>
      </c>
      <c r="AA4">
        <v>2</v>
      </c>
      <c r="AB4">
        <v>1</v>
      </c>
      <c r="AC4">
        <v>1</v>
      </c>
      <c r="AD4">
        <v>1</v>
      </c>
      <c r="AE4">
        <v>1</v>
      </c>
      <c r="AF4">
        <v>2</v>
      </c>
      <c r="AG4">
        <v>1</v>
      </c>
      <c r="AH4">
        <v>2</v>
      </c>
      <c r="AI4">
        <v>2</v>
      </c>
      <c r="AJ4">
        <v>0</v>
      </c>
      <c r="AK4">
        <v>2</v>
      </c>
      <c r="AL4">
        <v>1</v>
      </c>
      <c r="AM4">
        <v>1</v>
      </c>
      <c r="AN4" s="4">
        <f t="shared" si="5"/>
        <v>19</v>
      </c>
    </row>
    <row r="5" spans="1:40" x14ac:dyDescent="0.25">
      <c r="A5" s="1" t="s">
        <v>113</v>
      </c>
      <c r="B5" s="11" t="s">
        <v>191</v>
      </c>
      <c r="C5" s="12">
        <f t="shared" si="0"/>
        <v>150.5</v>
      </c>
      <c r="D5" s="12">
        <f t="shared" si="1"/>
        <v>290</v>
      </c>
      <c r="E5" s="13">
        <f t="shared" si="2"/>
        <v>0.51896551724137929</v>
      </c>
      <c r="F5" s="14">
        <f t="shared" si="3"/>
        <v>13.5</v>
      </c>
      <c r="H5">
        <v>10.5</v>
      </c>
      <c r="I5">
        <v>9</v>
      </c>
      <c r="J5">
        <v>11</v>
      </c>
      <c r="K5">
        <v>9</v>
      </c>
      <c r="L5">
        <v>10</v>
      </c>
      <c r="M5">
        <v>11.5</v>
      </c>
      <c r="N5">
        <v>7.5</v>
      </c>
      <c r="O5">
        <v>9</v>
      </c>
      <c r="P5">
        <v>11.5</v>
      </c>
      <c r="Q5">
        <v>11.5</v>
      </c>
      <c r="R5">
        <v>11.5</v>
      </c>
      <c r="S5">
        <v>10.5</v>
      </c>
      <c r="T5">
        <v>14</v>
      </c>
      <c r="U5">
        <v>3</v>
      </c>
      <c r="V5">
        <v>11</v>
      </c>
      <c r="W5" s="4">
        <f t="shared" si="4"/>
        <v>150.5</v>
      </c>
      <c r="Y5">
        <v>1</v>
      </c>
      <c r="Z5">
        <v>2</v>
      </c>
      <c r="AA5">
        <v>1</v>
      </c>
      <c r="AB5">
        <v>1</v>
      </c>
      <c r="AC5">
        <v>1</v>
      </c>
      <c r="AD5">
        <v>1</v>
      </c>
      <c r="AE5">
        <v>0.5</v>
      </c>
      <c r="AF5">
        <v>2</v>
      </c>
      <c r="AG5">
        <v>0.5</v>
      </c>
      <c r="AH5">
        <v>0</v>
      </c>
      <c r="AI5">
        <v>1.5</v>
      </c>
      <c r="AJ5">
        <v>1</v>
      </c>
      <c r="AK5">
        <v>0</v>
      </c>
      <c r="AL5">
        <v>0</v>
      </c>
      <c r="AM5">
        <v>1</v>
      </c>
      <c r="AN5" s="4">
        <f t="shared" si="5"/>
        <v>13.5</v>
      </c>
    </row>
    <row r="6" spans="1:40" x14ac:dyDescent="0.25">
      <c r="A6" s="1" t="s">
        <v>114</v>
      </c>
      <c r="B6" s="11" t="s">
        <v>43</v>
      </c>
      <c r="C6" s="12">
        <f t="shared" si="0"/>
        <v>146.5</v>
      </c>
      <c r="D6" s="12">
        <f t="shared" si="1"/>
        <v>290</v>
      </c>
      <c r="E6" s="13">
        <f t="shared" si="2"/>
        <v>0.5051724137931034</v>
      </c>
      <c r="F6" s="14">
        <f t="shared" si="3"/>
        <v>20</v>
      </c>
      <c r="H6">
        <v>10.5</v>
      </c>
      <c r="I6">
        <v>7</v>
      </c>
      <c r="J6">
        <v>16</v>
      </c>
      <c r="K6">
        <v>6</v>
      </c>
      <c r="L6">
        <v>8</v>
      </c>
      <c r="M6">
        <v>12.5</v>
      </c>
      <c r="N6">
        <v>5.5</v>
      </c>
      <c r="O6">
        <v>10</v>
      </c>
      <c r="P6">
        <v>11.5</v>
      </c>
      <c r="Q6">
        <v>11.5</v>
      </c>
      <c r="R6">
        <v>12.5</v>
      </c>
      <c r="S6">
        <v>11.5</v>
      </c>
      <c r="T6">
        <v>9</v>
      </c>
      <c r="U6">
        <v>4</v>
      </c>
      <c r="V6">
        <v>11</v>
      </c>
      <c r="W6" s="4">
        <f t="shared" si="4"/>
        <v>146.5</v>
      </c>
      <c r="Y6">
        <v>2</v>
      </c>
      <c r="Z6">
        <v>1</v>
      </c>
      <c r="AA6">
        <v>2</v>
      </c>
      <c r="AB6">
        <v>1</v>
      </c>
      <c r="AC6">
        <v>0</v>
      </c>
      <c r="AD6">
        <v>2</v>
      </c>
      <c r="AE6">
        <v>1</v>
      </c>
      <c r="AF6">
        <v>2</v>
      </c>
      <c r="AG6">
        <v>0</v>
      </c>
      <c r="AH6">
        <v>1</v>
      </c>
      <c r="AI6">
        <v>2</v>
      </c>
      <c r="AJ6">
        <v>1</v>
      </c>
      <c r="AK6">
        <v>1</v>
      </c>
      <c r="AL6">
        <v>2</v>
      </c>
      <c r="AM6">
        <v>2</v>
      </c>
      <c r="AN6" s="4">
        <f t="shared" si="5"/>
        <v>20</v>
      </c>
    </row>
    <row r="7" spans="1:40" x14ac:dyDescent="0.25">
      <c r="A7" s="1" t="s">
        <v>115</v>
      </c>
      <c r="B7" s="11" t="s">
        <v>57</v>
      </c>
      <c r="C7" s="12">
        <f t="shared" si="0"/>
        <v>146.5</v>
      </c>
      <c r="D7" s="12">
        <f t="shared" si="1"/>
        <v>290</v>
      </c>
      <c r="E7" s="13">
        <f t="shared" si="2"/>
        <v>0.5051724137931034</v>
      </c>
      <c r="F7" s="14">
        <f t="shared" si="3"/>
        <v>15</v>
      </c>
      <c r="H7">
        <v>11.5</v>
      </c>
      <c r="I7">
        <v>6</v>
      </c>
      <c r="J7">
        <v>11</v>
      </c>
      <c r="K7">
        <v>12</v>
      </c>
      <c r="L7">
        <v>7</v>
      </c>
      <c r="M7">
        <v>8.5</v>
      </c>
      <c r="N7">
        <v>10.5</v>
      </c>
      <c r="O7">
        <v>6</v>
      </c>
      <c r="P7">
        <v>9.5</v>
      </c>
      <c r="Q7">
        <v>13.5</v>
      </c>
      <c r="R7">
        <v>12.5</v>
      </c>
      <c r="S7">
        <v>11.5</v>
      </c>
      <c r="T7">
        <v>10</v>
      </c>
      <c r="U7">
        <v>4</v>
      </c>
      <c r="V7">
        <v>13</v>
      </c>
      <c r="W7" s="4">
        <f t="shared" si="4"/>
        <v>146.5</v>
      </c>
      <c r="Y7">
        <v>1</v>
      </c>
      <c r="Z7">
        <v>1</v>
      </c>
      <c r="AA7">
        <v>1</v>
      </c>
      <c r="AB7">
        <v>0</v>
      </c>
      <c r="AC7">
        <v>1</v>
      </c>
      <c r="AD7">
        <v>1</v>
      </c>
      <c r="AE7">
        <v>2</v>
      </c>
      <c r="AF7">
        <v>1</v>
      </c>
      <c r="AG7">
        <v>0</v>
      </c>
      <c r="AH7">
        <v>1</v>
      </c>
      <c r="AI7">
        <v>2</v>
      </c>
      <c r="AJ7">
        <v>0</v>
      </c>
      <c r="AK7">
        <v>0</v>
      </c>
      <c r="AL7">
        <v>2</v>
      </c>
      <c r="AM7">
        <v>2</v>
      </c>
      <c r="AN7" s="4">
        <f t="shared" si="5"/>
        <v>15</v>
      </c>
    </row>
    <row r="8" spans="1:40" x14ac:dyDescent="0.25">
      <c r="A8" s="1" t="s">
        <v>116</v>
      </c>
      <c r="B8" s="11" t="s">
        <v>36</v>
      </c>
      <c r="C8" s="12">
        <f t="shared" si="0"/>
        <v>146.5</v>
      </c>
      <c r="D8" s="12">
        <f t="shared" si="1"/>
        <v>290</v>
      </c>
      <c r="E8" s="13">
        <f t="shared" si="2"/>
        <v>0.5051724137931034</v>
      </c>
      <c r="F8" s="14">
        <f t="shared" si="3"/>
        <v>14</v>
      </c>
      <c r="H8">
        <v>11.5</v>
      </c>
      <c r="I8">
        <v>7</v>
      </c>
      <c r="J8">
        <v>13</v>
      </c>
      <c r="K8">
        <v>7</v>
      </c>
      <c r="L8">
        <v>9</v>
      </c>
      <c r="M8">
        <v>12.5</v>
      </c>
      <c r="N8">
        <v>7.5</v>
      </c>
      <c r="O8">
        <v>8</v>
      </c>
      <c r="P8">
        <v>10.5</v>
      </c>
      <c r="Q8">
        <v>11.5</v>
      </c>
      <c r="R8">
        <v>13.5</v>
      </c>
      <c r="S8">
        <v>9.5</v>
      </c>
      <c r="T8">
        <v>12</v>
      </c>
      <c r="U8">
        <v>2</v>
      </c>
      <c r="V8">
        <v>12</v>
      </c>
      <c r="W8" s="4">
        <f t="shared" si="4"/>
        <v>146.5</v>
      </c>
      <c r="Y8">
        <v>2</v>
      </c>
      <c r="Z8">
        <v>0</v>
      </c>
      <c r="AA8">
        <v>1</v>
      </c>
      <c r="AB8">
        <v>0</v>
      </c>
      <c r="AC8">
        <v>0</v>
      </c>
      <c r="AD8">
        <v>1</v>
      </c>
      <c r="AE8">
        <v>1</v>
      </c>
      <c r="AF8">
        <v>1</v>
      </c>
      <c r="AG8">
        <v>2</v>
      </c>
      <c r="AH8">
        <v>1</v>
      </c>
      <c r="AI8">
        <v>2</v>
      </c>
      <c r="AJ8">
        <v>0</v>
      </c>
      <c r="AK8">
        <v>1</v>
      </c>
      <c r="AL8">
        <v>0</v>
      </c>
      <c r="AM8">
        <v>2</v>
      </c>
      <c r="AN8" s="4">
        <f t="shared" si="5"/>
        <v>14</v>
      </c>
    </row>
    <row r="9" spans="1:40" x14ac:dyDescent="0.25">
      <c r="A9" s="1" t="s">
        <v>117</v>
      </c>
      <c r="B9" s="11" t="s">
        <v>60</v>
      </c>
      <c r="C9" s="12">
        <f t="shared" si="0"/>
        <v>145.5</v>
      </c>
      <c r="D9" s="12">
        <f t="shared" si="1"/>
        <v>290</v>
      </c>
      <c r="E9" s="13">
        <f t="shared" si="2"/>
        <v>0.50172413793103443</v>
      </c>
      <c r="F9" s="14">
        <f t="shared" si="3"/>
        <v>16.5</v>
      </c>
      <c r="H9">
        <v>6.5</v>
      </c>
      <c r="I9">
        <v>11</v>
      </c>
      <c r="J9">
        <v>11</v>
      </c>
      <c r="K9">
        <v>9</v>
      </c>
      <c r="L9">
        <v>10</v>
      </c>
      <c r="M9">
        <v>9.5</v>
      </c>
      <c r="N9">
        <v>7.5</v>
      </c>
      <c r="O9">
        <v>8</v>
      </c>
      <c r="P9">
        <v>10.5</v>
      </c>
      <c r="Q9">
        <v>14.5</v>
      </c>
      <c r="R9">
        <v>9.5</v>
      </c>
      <c r="S9">
        <v>11.5</v>
      </c>
      <c r="T9">
        <v>13</v>
      </c>
      <c r="U9">
        <v>2</v>
      </c>
      <c r="V9">
        <v>12</v>
      </c>
      <c r="W9" s="4">
        <f t="shared" si="4"/>
        <v>145.5</v>
      </c>
      <c r="Y9">
        <v>1</v>
      </c>
      <c r="Z9">
        <v>1</v>
      </c>
      <c r="AA9">
        <v>1</v>
      </c>
      <c r="AB9">
        <v>0</v>
      </c>
      <c r="AC9">
        <v>1</v>
      </c>
      <c r="AD9">
        <v>1</v>
      </c>
      <c r="AE9">
        <v>0</v>
      </c>
      <c r="AF9">
        <v>2</v>
      </c>
      <c r="AG9">
        <v>2</v>
      </c>
      <c r="AH9">
        <v>1</v>
      </c>
      <c r="AI9">
        <v>1</v>
      </c>
      <c r="AJ9">
        <v>0.5</v>
      </c>
      <c r="AK9">
        <v>2</v>
      </c>
      <c r="AL9">
        <v>1</v>
      </c>
      <c r="AM9">
        <v>2</v>
      </c>
      <c r="AN9" s="4">
        <f t="shared" si="5"/>
        <v>16.5</v>
      </c>
    </row>
    <row r="10" spans="1:40" x14ac:dyDescent="0.25">
      <c r="A10" s="1" t="s">
        <v>118</v>
      </c>
      <c r="B10" s="11" t="s">
        <v>47</v>
      </c>
      <c r="C10" s="12">
        <f t="shared" si="0"/>
        <v>144.5</v>
      </c>
      <c r="D10" s="12">
        <f t="shared" si="1"/>
        <v>290</v>
      </c>
      <c r="E10" s="13">
        <f t="shared" si="2"/>
        <v>0.49827586206896551</v>
      </c>
      <c r="F10" s="14">
        <f t="shared" si="3"/>
        <v>12.5</v>
      </c>
      <c r="H10">
        <v>9.5</v>
      </c>
      <c r="I10">
        <v>7</v>
      </c>
      <c r="J10">
        <v>14</v>
      </c>
      <c r="K10">
        <v>5</v>
      </c>
      <c r="L10">
        <v>7</v>
      </c>
      <c r="M10">
        <v>12.5</v>
      </c>
      <c r="N10">
        <v>6.5</v>
      </c>
      <c r="O10">
        <v>13</v>
      </c>
      <c r="P10">
        <v>10.5</v>
      </c>
      <c r="Q10">
        <v>12.5</v>
      </c>
      <c r="R10">
        <v>13.5</v>
      </c>
      <c r="S10">
        <v>9.5</v>
      </c>
      <c r="T10">
        <v>8</v>
      </c>
      <c r="U10">
        <v>2</v>
      </c>
      <c r="V10">
        <v>14</v>
      </c>
      <c r="W10" s="4">
        <f t="shared" si="4"/>
        <v>144.5</v>
      </c>
      <c r="Y10">
        <v>1</v>
      </c>
      <c r="Z10">
        <v>1</v>
      </c>
      <c r="AA10">
        <v>2</v>
      </c>
      <c r="AB10">
        <v>0</v>
      </c>
      <c r="AC10">
        <v>0</v>
      </c>
      <c r="AD10">
        <v>1</v>
      </c>
      <c r="AE10">
        <v>0</v>
      </c>
      <c r="AF10">
        <v>1</v>
      </c>
      <c r="AG10">
        <v>0.5</v>
      </c>
      <c r="AH10">
        <v>1</v>
      </c>
      <c r="AI10">
        <v>2</v>
      </c>
      <c r="AJ10">
        <v>0</v>
      </c>
      <c r="AK10">
        <v>1</v>
      </c>
      <c r="AL10">
        <v>1</v>
      </c>
      <c r="AM10">
        <v>1</v>
      </c>
      <c r="AN10" s="4">
        <f t="shared" si="5"/>
        <v>12.5</v>
      </c>
    </row>
    <row r="11" spans="1:40" x14ac:dyDescent="0.25">
      <c r="A11" s="1" t="s">
        <v>119</v>
      </c>
      <c r="B11" s="11" t="s">
        <v>190</v>
      </c>
      <c r="C11" s="12">
        <f t="shared" si="0"/>
        <v>143.5</v>
      </c>
      <c r="D11" s="12">
        <f t="shared" si="1"/>
        <v>290</v>
      </c>
      <c r="E11" s="13">
        <f t="shared" si="2"/>
        <v>0.49482758620689654</v>
      </c>
      <c r="F11" s="14">
        <f t="shared" si="3"/>
        <v>16.5</v>
      </c>
      <c r="H11">
        <v>12.5</v>
      </c>
      <c r="I11">
        <v>8</v>
      </c>
      <c r="J11">
        <v>14</v>
      </c>
      <c r="K11">
        <v>6</v>
      </c>
      <c r="L11">
        <v>7</v>
      </c>
      <c r="M11">
        <v>14.5</v>
      </c>
      <c r="N11">
        <v>7.5</v>
      </c>
      <c r="O11">
        <v>11</v>
      </c>
      <c r="P11">
        <v>11.5</v>
      </c>
      <c r="Q11">
        <v>10.5</v>
      </c>
      <c r="R11">
        <v>10.5</v>
      </c>
      <c r="S11">
        <v>10.5</v>
      </c>
      <c r="T11">
        <v>10</v>
      </c>
      <c r="U11">
        <v>4</v>
      </c>
      <c r="V11">
        <v>6</v>
      </c>
      <c r="W11" s="4">
        <f t="shared" si="4"/>
        <v>143.5</v>
      </c>
      <c r="Y11">
        <v>2</v>
      </c>
      <c r="Z11">
        <v>0</v>
      </c>
      <c r="AA11">
        <v>1</v>
      </c>
      <c r="AB11">
        <v>0</v>
      </c>
      <c r="AC11">
        <v>1</v>
      </c>
      <c r="AD11">
        <v>1</v>
      </c>
      <c r="AE11">
        <v>2</v>
      </c>
      <c r="AF11">
        <v>1</v>
      </c>
      <c r="AG11">
        <v>1.5</v>
      </c>
      <c r="AH11">
        <v>2</v>
      </c>
      <c r="AI11">
        <v>1</v>
      </c>
      <c r="AJ11">
        <v>1</v>
      </c>
      <c r="AK11">
        <v>1</v>
      </c>
      <c r="AL11">
        <v>1</v>
      </c>
      <c r="AM11">
        <v>1</v>
      </c>
      <c r="AN11" s="4">
        <f t="shared" si="5"/>
        <v>16.5</v>
      </c>
    </row>
    <row r="12" spans="1:40" x14ac:dyDescent="0.25">
      <c r="A12" s="1" t="s">
        <v>120</v>
      </c>
      <c r="B12" s="11" t="s">
        <v>41</v>
      </c>
      <c r="C12" s="12">
        <f t="shared" si="0"/>
        <v>142.5</v>
      </c>
      <c r="D12" s="12">
        <f t="shared" si="1"/>
        <v>290</v>
      </c>
      <c r="E12" s="13">
        <f t="shared" si="2"/>
        <v>0.49137931034482757</v>
      </c>
      <c r="F12" s="14">
        <f t="shared" si="3"/>
        <v>12</v>
      </c>
      <c r="H12">
        <v>9.5</v>
      </c>
      <c r="I12">
        <v>10</v>
      </c>
      <c r="J12">
        <v>15</v>
      </c>
      <c r="K12">
        <v>5</v>
      </c>
      <c r="L12">
        <v>9</v>
      </c>
      <c r="M12">
        <v>10.5</v>
      </c>
      <c r="N12">
        <v>6.5</v>
      </c>
      <c r="O12">
        <v>8</v>
      </c>
      <c r="P12">
        <v>12.5</v>
      </c>
      <c r="Q12">
        <v>11.5</v>
      </c>
      <c r="R12">
        <v>13.5</v>
      </c>
      <c r="S12">
        <v>9.5</v>
      </c>
      <c r="T12">
        <v>8</v>
      </c>
      <c r="U12">
        <v>3</v>
      </c>
      <c r="V12">
        <v>11</v>
      </c>
      <c r="W12" s="4">
        <f t="shared" si="4"/>
        <v>142.5</v>
      </c>
      <c r="Y12">
        <v>2</v>
      </c>
      <c r="Z12">
        <v>0</v>
      </c>
      <c r="AA12">
        <v>1</v>
      </c>
      <c r="AB12">
        <v>0</v>
      </c>
      <c r="AC12">
        <v>0</v>
      </c>
      <c r="AD12">
        <v>1</v>
      </c>
      <c r="AE12">
        <v>1.5</v>
      </c>
      <c r="AF12">
        <v>0</v>
      </c>
      <c r="AG12">
        <v>1</v>
      </c>
      <c r="AH12">
        <v>1</v>
      </c>
      <c r="AI12">
        <v>1.5</v>
      </c>
      <c r="AJ12">
        <v>0</v>
      </c>
      <c r="AK12">
        <v>0</v>
      </c>
      <c r="AL12">
        <v>2</v>
      </c>
      <c r="AM12">
        <v>1</v>
      </c>
      <c r="AN12" s="4">
        <f t="shared" si="5"/>
        <v>12</v>
      </c>
    </row>
    <row r="13" spans="1:40" x14ac:dyDescent="0.25">
      <c r="A13" s="1" t="s">
        <v>121</v>
      </c>
      <c r="B13" s="11" t="s">
        <v>55</v>
      </c>
      <c r="C13" s="12">
        <f t="shared" si="0"/>
        <v>141.5</v>
      </c>
      <c r="D13" s="12">
        <f t="shared" si="1"/>
        <v>290</v>
      </c>
      <c r="E13" s="13">
        <f t="shared" si="2"/>
        <v>0.4879310344827586</v>
      </c>
      <c r="F13" s="14">
        <f t="shared" si="3"/>
        <v>19.5</v>
      </c>
      <c r="H13">
        <v>6.5</v>
      </c>
      <c r="I13">
        <v>5</v>
      </c>
      <c r="J13">
        <v>12</v>
      </c>
      <c r="K13">
        <v>8</v>
      </c>
      <c r="L13">
        <v>9</v>
      </c>
      <c r="M13">
        <v>10.5</v>
      </c>
      <c r="N13">
        <v>8.5</v>
      </c>
      <c r="O13">
        <v>14</v>
      </c>
      <c r="P13">
        <v>12.5</v>
      </c>
      <c r="Q13">
        <v>11.5</v>
      </c>
      <c r="R13">
        <v>11.5</v>
      </c>
      <c r="S13">
        <v>8.5</v>
      </c>
      <c r="T13">
        <v>9</v>
      </c>
      <c r="U13">
        <v>2</v>
      </c>
      <c r="V13">
        <v>13</v>
      </c>
      <c r="W13" s="4">
        <f t="shared" si="4"/>
        <v>141.5</v>
      </c>
      <c r="Y13">
        <v>1</v>
      </c>
      <c r="Z13">
        <v>0</v>
      </c>
      <c r="AA13">
        <v>2</v>
      </c>
      <c r="AB13">
        <v>2</v>
      </c>
      <c r="AC13">
        <v>1</v>
      </c>
      <c r="AD13">
        <v>0</v>
      </c>
      <c r="AE13">
        <v>2</v>
      </c>
      <c r="AF13">
        <v>2</v>
      </c>
      <c r="AG13">
        <v>1.5</v>
      </c>
      <c r="AH13">
        <v>1</v>
      </c>
      <c r="AI13">
        <v>1</v>
      </c>
      <c r="AJ13">
        <v>1</v>
      </c>
      <c r="AK13">
        <v>0</v>
      </c>
      <c r="AL13">
        <v>2</v>
      </c>
      <c r="AM13">
        <v>3</v>
      </c>
      <c r="AN13" s="4">
        <f t="shared" si="5"/>
        <v>19.5</v>
      </c>
    </row>
    <row r="14" spans="1:40" x14ac:dyDescent="0.25">
      <c r="A14" s="1" t="s">
        <v>122</v>
      </c>
      <c r="B14" s="11" t="s">
        <v>48</v>
      </c>
      <c r="C14" s="12">
        <f t="shared" si="0"/>
        <v>141.5</v>
      </c>
      <c r="D14" s="12">
        <f t="shared" si="1"/>
        <v>290</v>
      </c>
      <c r="E14" s="13">
        <f t="shared" si="2"/>
        <v>0.4879310344827586</v>
      </c>
      <c r="F14" s="14">
        <f t="shared" si="3"/>
        <v>17.5</v>
      </c>
      <c r="H14">
        <v>11.5</v>
      </c>
      <c r="I14">
        <v>6</v>
      </c>
      <c r="J14">
        <v>14</v>
      </c>
      <c r="K14">
        <v>7</v>
      </c>
      <c r="L14">
        <v>7</v>
      </c>
      <c r="M14">
        <v>9.5</v>
      </c>
      <c r="N14">
        <v>7.5</v>
      </c>
      <c r="O14">
        <v>12</v>
      </c>
      <c r="P14">
        <v>12.5</v>
      </c>
      <c r="Q14">
        <v>12.5</v>
      </c>
      <c r="R14">
        <v>11.5</v>
      </c>
      <c r="S14">
        <v>10.5</v>
      </c>
      <c r="T14">
        <v>11</v>
      </c>
      <c r="U14">
        <v>4</v>
      </c>
      <c r="V14">
        <v>5</v>
      </c>
      <c r="W14" s="4">
        <f t="shared" si="4"/>
        <v>141.5</v>
      </c>
      <c r="Y14">
        <v>1</v>
      </c>
      <c r="Z14">
        <v>1</v>
      </c>
      <c r="AA14">
        <v>2</v>
      </c>
      <c r="AB14">
        <v>1</v>
      </c>
      <c r="AC14">
        <v>1</v>
      </c>
      <c r="AD14">
        <v>2</v>
      </c>
      <c r="AE14">
        <v>1</v>
      </c>
      <c r="AF14">
        <v>1</v>
      </c>
      <c r="AG14">
        <v>2</v>
      </c>
      <c r="AH14">
        <v>1</v>
      </c>
      <c r="AI14">
        <v>1</v>
      </c>
      <c r="AJ14">
        <v>0.5</v>
      </c>
      <c r="AK14">
        <v>2</v>
      </c>
      <c r="AL14">
        <v>0</v>
      </c>
      <c r="AM14">
        <v>1</v>
      </c>
      <c r="AN14" s="4">
        <f t="shared" si="5"/>
        <v>17.5</v>
      </c>
    </row>
    <row r="15" spans="1:40" x14ac:dyDescent="0.25">
      <c r="A15" s="1" t="s">
        <v>123</v>
      </c>
      <c r="B15" s="11" t="s">
        <v>52</v>
      </c>
      <c r="C15" s="12">
        <f t="shared" si="0"/>
        <v>141.5</v>
      </c>
      <c r="D15" s="12">
        <f t="shared" si="1"/>
        <v>290</v>
      </c>
      <c r="E15" s="13">
        <f t="shared" si="2"/>
        <v>0.4879310344827586</v>
      </c>
      <c r="F15" s="14">
        <f t="shared" si="3"/>
        <v>12.5</v>
      </c>
      <c r="H15">
        <v>10.5</v>
      </c>
      <c r="I15">
        <v>8</v>
      </c>
      <c r="J15">
        <v>15</v>
      </c>
      <c r="K15">
        <v>6</v>
      </c>
      <c r="L15">
        <v>8</v>
      </c>
      <c r="M15">
        <v>11.5</v>
      </c>
      <c r="N15">
        <v>5.5</v>
      </c>
      <c r="O15">
        <v>11</v>
      </c>
      <c r="P15">
        <v>11.5</v>
      </c>
      <c r="Q15">
        <v>10.5</v>
      </c>
      <c r="R15">
        <v>9.5</v>
      </c>
      <c r="S15">
        <v>11.5</v>
      </c>
      <c r="T15">
        <v>9</v>
      </c>
      <c r="U15">
        <v>4</v>
      </c>
      <c r="V15">
        <v>10</v>
      </c>
      <c r="W15" s="4">
        <f t="shared" si="4"/>
        <v>141.5</v>
      </c>
      <c r="Y15">
        <v>1</v>
      </c>
      <c r="Z15">
        <v>2</v>
      </c>
      <c r="AA15">
        <v>0</v>
      </c>
      <c r="AB15">
        <v>2</v>
      </c>
      <c r="AC15">
        <v>1</v>
      </c>
      <c r="AD15">
        <v>0</v>
      </c>
      <c r="AE15">
        <v>0</v>
      </c>
      <c r="AF15">
        <v>2</v>
      </c>
      <c r="AG15">
        <v>1</v>
      </c>
      <c r="AH15">
        <v>0</v>
      </c>
      <c r="AI15">
        <v>0</v>
      </c>
      <c r="AJ15">
        <v>1.5</v>
      </c>
      <c r="AK15">
        <v>1</v>
      </c>
      <c r="AL15">
        <v>0</v>
      </c>
      <c r="AM15">
        <v>1</v>
      </c>
      <c r="AN15" s="4">
        <f t="shared" si="5"/>
        <v>12.5</v>
      </c>
    </row>
    <row r="16" spans="1:40" x14ac:dyDescent="0.25">
      <c r="A16" s="1" t="s">
        <v>124</v>
      </c>
      <c r="B16" s="11" t="s">
        <v>194</v>
      </c>
      <c r="C16" s="12">
        <f t="shared" si="0"/>
        <v>140.5</v>
      </c>
      <c r="D16" s="12">
        <f t="shared" si="1"/>
        <v>290</v>
      </c>
      <c r="E16" s="13">
        <f t="shared" si="2"/>
        <v>0.48448275862068968</v>
      </c>
      <c r="F16" s="14">
        <f t="shared" si="3"/>
        <v>16</v>
      </c>
      <c r="H16">
        <v>10.5</v>
      </c>
      <c r="I16">
        <v>7</v>
      </c>
      <c r="J16">
        <v>14</v>
      </c>
      <c r="K16">
        <v>6</v>
      </c>
      <c r="L16">
        <v>7</v>
      </c>
      <c r="M16">
        <v>11.5</v>
      </c>
      <c r="N16">
        <v>7.5</v>
      </c>
      <c r="O16">
        <v>11</v>
      </c>
      <c r="P16">
        <v>10.5</v>
      </c>
      <c r="Q16">
        <v>9.5</v>
      </c>
      <c r="R16">
        <v>10.5</v>
      </c>
      <c r="S16">
        <v>10.5</v>
      </c>
      <c r="T16">
        <v>11</v>
      </c>
      <c r="U16">
        <v>2</v>
      </c>
      <c r="V16">
        <v>12</v>
      </c>
      <c r="W16" s="4">
        <f t="shared" si="4"/>
        <v>140.5</v>
      </c>
      <c r="Y16">
        <v>2</v>
      </c>
      <c r="Z16">
        <v>0</v>
      </c>
      <c r="AA16">
        <v>1</v>
      </c>
      <c r="AB16">
        <v>1</v>
      </c>
      <c r="AC16">
        <v>1</v>
      </c>
      <c r="AD16">
        <v>1</v>
      </c>
      <c r="AE16">
        <v>2</v>
      </c>
      <c r="AF16">
        <v>1</v>
      </c>
      <c r="AG16">
        <v>1.5</v>
      </c>
      <c r="AH16">
        <v>1</v>
      </c>
      <c r="AI16">
        <v>0.5</v>
      </c>
      <c r="AJ16">
        <v>0</v>
      </c>
      <c r="AK16">
        <v>1</v>
      </c>
      <c r="AL16">
        <v>1</v>
      </c>
      <c r="AM16">
        <v>2</v>
      </c>
      <c r="AN16" s="4">
        <f t="shared" si="5"/>
        <v>16</v>
      </c>
    </row>
    <row r="17" spans="1:40" x14ac:dyDescent="0.25">
      <c r="A17" s="1" t="s">
        <v>125</v>
      </c>
      <c r="B17" s="11" t="s">
        <v>50</v>
      </c>
      <c r="C17" s="12">
        <f t="shared" si="0"/>
        <v>139.5</v>
      </c>
      <c r="D17" s="12">
        <f t="shared" si="1"/>
        <v>290</v>
      </c>
      <c r="E17" s="13">
        <f t="shared" si="2"/>
        <v>0.48103448275862071</v>
      </c>
      <c r="F17" s="14">
        <f t="shared" si="3"/>
        <v>17</v>
      </c>
      <c r="H17">
        <v>11.5</v>
      </c>
      <c r="I17">
        <v>6</v>
      </c>
      <c r="J17">
        <v>14</v>
      </c>
      <c r="K17">
        <v>4</v>
      </c>
      <c r="L17">
        <v>8</v>
      </c>
      <c r="M17">
        <v>14.5</v>
      </c>
      <c r="N17">
        <v>8.5</v>
      </c>
      <c r="O17">
        <v>11</v>
      </c>
      <c r="P17">
        <v>8.5</v>
      </c>
      <c r="Q17">
        <v>9.5</v>
      </c>
      <c r="R17">
        <v>11.5</v>
      </c>
      <c r="S17">
        <v>8.5</v>
      </c>
      <c r="T17">
        <v>10</v>
      </c>
      <c r="U17">
        <v>6</v>
      </c>
      <c r="V17">
        <v>8</v>
      </c>
      <c r="W17" s="4">
        <f t="shared" si="4"/>
        <v>139.5</v>
      </c>
      <c r="Y17">
        <v>2</v>
      </c>
      <c r="Z17">
        <v>0</v>
      </c>
      <c r="AA17">
        <v>2</v>
      </c>
      <c r="AB17">
        <v>1</v>
      </c>
      <c r="AC17">
        <v>1</v>
      </c>
      <c r="AD17">
        <v>0</v>
      </c>
      <c r="AE17">
        <v>2</v>
      </c>
      <c r="AF17">
        <v>2</v>
      </c>
      <c r="AG17">
        <v>1</v>
      </c>
      <c r="AH17">
        <v>2</v>
      </c>
      <c r="AI17">
        <v>2</v>
      </c>
      <c r="AJ17">
        <v>0</v>
      </c>
      <c r="AK17">
        <v>0</v>
      </c>
      <c r="AL17">
        <v>2</v>
      </c>
      <c r="AM17">
        <v>0</v>
      </c>
      <c r="AN17" s="4">
        <f t="shared" si="5"/>
        <v>17</v>
      </c>
    </row>
    <row r="18" spans="1:40" x14ac:dyDescent="0.25">
      <c r="A18" s="1" t="s">
        <v>126</v>
      </c>
      <c r="B18" s="11" t="s">
        <v>51</v>
      </c>
      <c r="C18" s="12">
        <f t="shared" si="0"/>
        <v>138.5</v>
      </c>
      <c r="D18" s="12">
        <f t="shared" si="1"/>
        <v>290</v>
      </c>
      <c r="E18" s="13">
        <f t="shared" si="2"/>
        <v>0.47758620689655173</v>
      </c>
      <c r="F18" s="14">
        <f t="shared" si="3"/>
        <v>20</v>
      </c>
      <c r="H18">
        <v>10.5</v>
      </c>
      <c r="I18">
        <v>7</v>
      </c>
      <c r="J18">
        <v>15</v>
      </c>
      <c r="K18">
        <v>7</v>
      </c>
      <c r="L18">
        <v>8</v>
      </c>
      <c r="M18">
        <v>11.5</v>
      </c>
      <c r="N18">
        <v>6.5</v>
      </c>
      <c r="O18">
        <v>8</v>
      </c>
      <c r="P18">
        <v>10.5</v>
      </c>
      <c r="Q18">
        <v>11.5</v>
      </c>
      <c r="R18">
        <v>9.5</v>
      </c>
      <c r="S18">
        <v>11.5</v>
      </c>
      <c r="T18">
        <v>9</v>
      </c>
      <c r="U18">
        <v>4</v>
      </c>
      <c r="V18">
        <v>9</v>
      </c>
      <c r="W18" s="4">
        <f t="shared" si="4"/>
        <v>138.5</v>
      </c>
      <c r="Y18">
        <v>2</v>
      </c>
      <c r="Z18">
        <v>1</v>
      </c>
      <c r="AA18">
        <v>1</v>
      </c>
      <c r="AB18">
        <v>0</v>
      </c>
      <c r="AC18">
        <v>2</v>
      </c>
      <c r="AD18">
        <v>1</v>
      </c>
      <c r="AE18">
        <v>1</v>
      </c>
      <c r="AF18">
        <v>2</v>
      </c>
      <c r="AG18">
        <v>1.5</v>
      </c>
      <c r="AH18">
        <v>1.5</v>
      </c>
      <c r="AI18">
        <v>1</v>
      </c>
      <c r="AJ18">
        <v>1</v>
      </c>
      <c r="AK18">
        <v>2</v>
      </c>
      <c r="AL18">
        <v>1</v>
      </c>
      <c r="AM18">
        <v>2</v>
      </c>
      <c r="AN18" s="4">
        <f t="shared" si="5"/>
        <v>20</v>
      </c>
    </row>
    <row r="19" spans="1:40" x14ac:dyDescent="0.25">
      <c r="A19" s="1" t="s">
        <v>127</v>
      </c>
      <c r="B19" s="11" t="s">
        <v>44</v>
      </c>
      <c r="C19" s="12">
        <f t="shared" si="0"/>
        <v>137.5</v>
      </c>
      <c r="D19" s="12">
        <f t="shared" si="1"/>
        <v>290</v>
      </c>
      <c r="E19" s="13">
        <f t="shared" si="2"/>
        <v>0.47413793103448276</v>
      </c>
      <c r="F19" s="14">
        <f t="shared" si="3"/>
        <v>17</v>
      </c>
      <c r="H19">
        <v>8.5</v>
      </c>
      <c r="I19">
        <v>4</v>
      </c>
      <c r="J19">
        <v>13</v>
      </c>
      <c r="K19">
        <v>9</v>
      </c>
      <c r="L19">
        <v>7</v>
      </c>
      <c r="M19">
        <v>9.5</v>
      </c>
      <c r="N19">
        <v>7.5</v>
      </c>
      <c r="O19">
        <v>7</v>
      </c>
      <c r="P19">
        <v>12.5</v>
      </c>
      <c r="Q19">
        <v>11.5</v>
      </c>
      <c r="R19">
        <v>13.5</v>
      </c>
      <c r="S19">
        <v>10.5</v>
      </c>
      <c r="T19">
        <v>6</v>
      </c>
      <c r="U19">
        <v>3</v>
      </c>
      <c r="V19">
        <v>15</v>
      </c>
      <c r="W19" s="4">
        <f t="shared" si="4"/>
        <v>137.5</v>
      </c>
      <c r="Y19">
        <v>1</v>
      </c>
      <c r="Z19">
        <v>1</v>
      </c>
      <c r="AA19">
        <v>1</v>
      </c>
      <c r="AB19">
        <v>2</v>
      </c>
      <c r="AC19">
        <v>0</v>
      </c>
      <c r="AD19">
        <v>0</v>
      </c>
      <c r="AE19">
        <v>1</v>
      </c>
      <c r="AF19">
        <v>0</v>
      </c>
      <c r="AG19">
        <v>2</v>
      </c>
      <c r="AH19">
        <v>1</v>
      </c>
      <c r="AI19">
        <v>2</v>
      </c>
      <c r="AJ19">
        <v>1</v>
      </c>
      <c r="AK19">
        <v>1</v>
      </c>
      <c r="AL19">
        <v>1</v>
      </c>
      <c r="AM19">
        <v>3</v>
      </c>
      <c r="AN19" s="4">
        <f t="shared" si="5"/>
        <v>17</v>
      </c>
    </row>
    <row r="20" spans="1:40" x14ac:dyDescent="0.25">
      <c r="A20" s="1" t="s">
        <v>128</v>
      </c>
      <c r="B20" s="11" t="s">
        <v>45</v>
      </c>
      <c r="C20" s="12">
        <f t="shared" si="0"/>
        <v>137.5</v>
      </c>
      <c r="D20" s="12">
        <f t="shared" si="1"/>
        <v>290</v>
      </c>
      <c r="E20" s="13">
        <f t="shared" si="2"/>
        <v>0.47413793103448276</v>
      </c>
      <c r="F20" s="14">
        <f t="shared" si="3"/>
        <v>13</v>
      </c>
      <c r="H20">
        <v>4.5</v>
      </c>
      <c r="I20">
        <v>8</v>
      </c>
      <c r="J20">
        <v>11</v>
      </c>
      <c r="K20">
        <v>9</v>
      </c>
      <c r="L20">
        <v>12</v>
      </c>
      <c r="M20">
        <v>10.5</v>
      </c>
      <c r="N20">
        <v>8.5</v>
      </c>
      <c r="O20">
        <v>7</v>
      </c>
      <c r="P20">
        <v>10.5</v>
      </c>
      <c r="Q20">
        <v>10.5</v>
      </c>
      <c r="R20">
        <v>10.5</v>
      </c>
      <c r="S20">
        <v>9.5</v>
      </c>
      <c r="T20">
        <v>10</v>
      </c>
      <c r="U20">
        <v>4</v>
      </c>
      <c r="V20">
        <v>12</v>
      </c>
      <c r="W20" s="4">
        <f t="shared" si="4"/>
        <v>137.5</v>
      </c>
      <c r="Y20">
        <v>0</v>
      </c>
      <c r="Z20">
        <v>1</v>
      </c>
      <c r="AA20">
        <v>1</v>
      </c>
      <c r="AB20">
        <v>1</v>
      </c>
      <c r="AC20">
        <v>1</v>
      </c>
      <c r="AD20">
        <v>1.5</v>
      </c>
      <c r="AE20">
        <v>2</v>
      </c>
      <c r="AF20">
        <v>1</v>
      </c>
      <c r="AG20">
        <v>0</v>
      </c>
      <c r="AH20">
        <v>0</v>
      </c>
      <c r="AI20">
        <v>1.5</v>
      </c>
      <c r="AJ20">
        <v>1</v>
      </c>
      <c r="AK20">
        <v>0</v>
      </c>
      <c r="AL20">
        <v>1</v>
      </c>
      <c r="AM20">
        <v>1</v>
      </c>
      <c r="AN20" s="4">
        <f t="shared" si="5"/>
        <v>13</v>
      </c>
    </row>
    <row r="21" spans="1:40" x14ac:dyDescent="0.25">
      <c r="A21" s="1" t="s">
        <v>129</v>
      </c>
      <c r="B21" s="11" t="s">
        <v>54</v>
      </c>
      <c r="C21" s="12">
        <f t="shared" si="0"/>
        <v>137.5</v>
      </c>
      <c r="D21" s="12">
        <f t="shared" si="1"/>
        <v>290</v>
      </c>
      <c r="E21" s="13">
        <f t="shared" si="2"/>
        <v>0.47413793103448276</v>
      </c>
      <c r="F21" s="14">
        <f t="shared" si="3"/>
        <v>11</v>
      </c>
      <c r="H21">
        <v>10.5</v>
      </c>
      <c r="I21">
        <v>7</v>
      </c>
      <c r="J21">
        <v>12</v>
      </c>
      <c r="K21">
        <v>7</v>
      </c>
      <c r="L21">
        <v>7</v>
      </c>
      <c r="M21">
        <v>11.5</v>
      </c>
      <c r="N21">
        <v>7.5</v>
      </c>
      <c r="O21">
        <v>11</v>
      </c>
      <c r="P21">
        <v>10.5</v>
      </c>
      <c r="Q21">
        <v>12.5</v>
      </c>
      <c r="R21">
        <v>12.5</v>
      </c>
      <c r="S21">
        <v>6.5</v>
      </c>
      <c r="T21">
        <v>10</v>
      </c>
      <c r="U21">
        <v>3</v>
      </c>
      <c r="V21">
        <v>9</v>
      </c>
      <c r="W21" s="4">
        <f t="shared" si="4"/>
        <v>137.5</v>
      </c>
      <c r="Y21">
        <v>0</v>
      </c>
      <c r="Z21">
        <v>0</v>
      </c>
      <c r="AA21">
        <v>2</v>
      </c>
      <c r="AB21">
        <v>0</v>
      </c>
      <c r="AC21">
        <v>1</v>
      </c>
      <c r="AD21">
        <v>1</v>
      </c>
      <c r="AE21">
        <v>1</v>
      </c>
      <c r="AF21">
        <v>0</v>
      </c>
      <c r="AG21">
        <v>1</v>
      </c>
      <c r="AH21">
        <v>0</v>
      </c>
      <c r="AI21">
        <v>2</v>
      </c>
      <c r="AJ21">
        <v>1</v>
      </c>
      <c r="AK21">
        <v>1</v>
      </c>
      <c r="AL21">
        <v>1</v>
      </c>
      <c r="AM21">
        <v>0</v>
      </c>
      <c r="AN21" s="4">
        <f t="shared" si="5"/>
        <v>11</v>
      </c>
    </row>
    <row r="22" spans="1:40" x14ac:dyDescent="0.25">
      <c r="A22" s="1" t="s">
        <v>130</v>
      </c>
      <c r="B22" s="11" t="s">
        <v>61</v>
      </c>
      <c r="C22" s="12">
        <f t="shared" si="0"/>
        <v>134.5</v>
      </c>
      <c r="D22" s="12">
        <f t="shared" si="1"/>
        <v>290</v>
      </c>
      <c r="E22" s="13">
        <f t="shared" si="2"/>
        <v>0.46379310344827585</v>
      </c>
      <c r="F22" s="14">
        <f t="shared" si="3"/>
        <v>16</v>
      </c>
      <c r="H22">
        <v>9.5</v>
      </c>
      <c r="I22">
        <v>9</v>
      </c>
      <c r="J22">
        <v>12</v>
      </c>
      <c r="K22">
        <v>5</v>
      </c>
      <c r="L22">
        <v>7</v>
      </c>
      <c r="M22">
        <v>8.5</v>
      </c>
      <c r="N22">
        <v>8.5</v>
      </c>
      <c r="O22">
        <v>8</v>
      </c>
      <c r="P22">
        <v>10.5</v>
      </c>
      <c r="Q22">
        <v>9.5</v>
      </c>
      <c r="R22">
        <v>9.5</v>
      </c>
      <c r="S22">
        <v>11.5</v>
      </c>
      <c r="T22">
        <v>11</v>
      </c>
      <c r="U22">
        <v>3</v>
      </c>
      <c r="V22">
        <v>12</v>
      </c>
      <c r="W22" s="4">
        <f t="shared" si="4"/>
        <v>134.5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0</v>
      </c>
      <c r="AG22">
        <v>0</v>
      </c>
      <c r="AH22">
        <v>0.5</v>
      </c>
      <c r="AI22">
        <v>1.5</v>
      </c>
      <c r="AJ22">
        <v>2</v>
      </c>
      <c r="AK22">
        <v>2</v>
      </c>
      <c r="AL22">
        <v>1</v>
      </c>
      <c r="AM22">
        <v>2</v>
      </c>
      <c r="AN22" s="4">
        <f t="shared" si="5"/>
        <v>16</v>
      </c>
    </row>
    <row r="23" spans="1:40" x14ac:dyDescent="0.25">
      <c r="A23" s="1" t="s">
        <v>367</v>
      </c>
      <c r="B23" s="11" t="s">
        <v>251</v>
      </c>
      <c r="C23" s="12">
        <f t="shared" si="0"/>
        <v>134</v>
      </c>
      <c r="D23" s="12">
        <f>$W$39-$H$39-$I$39</f>
        <v>256</v>
      </c>
      <c r="E23" s="13">
        <f t="shared" si="2"/>
        <v>0.5234375</v>
      </c>
      <c r="F23" s="14">
        <f t="shared" si="3"/>
        <v>14</v>
      </c>
      <c r="H23" s="15" t="s">
        <v>63</v>
      </c>
      <c r="I23" s="15" t="s">
        <v>63</v>
      </c>
      <c r="J23">
        <v>12</v>
      </c>
      <c r="K23">
        <v>10</v>
      </c>
      <c r="L23">
        <v>12</v>
      </c>
      <c r="M23">
        <v>13.5</v>
      </c>
      <c r="N23">
        <v>10.5</v>
      </c>
      <c r="O23">
        <v>9</v>
      </c>
      <c r="P23">
        <v>8.5</v>
      </c>
      <c r="Q23">
        <v>9.5</v>
      </c>
      <c r="R23">
        <v>12.5</v>
      </c>
      <c r="S23">
        <v>11.5</v>
      </c>
      <c r="T23">
        <v>12</v>
      </c>
      <c r="U23">
        <v>3</v>
      </c>
      <c r="V23">
        <v>10</v>
      </c>
      <c r="W23" s="4">
        <f t="shared" si="4"/>
        <v>134</v>
      </c>
      <c r="Y23" s="15" t="s">
        <v>63</v>
      </c>
      <c r="Z23" s="15" t="s">
        <v>63</v>
      </c>
      <c r="AA23">
        <v>2</v>
      </c>
      <c r="AB23">
        <v>1</v>
      </c>
      <c r="AC23">
        <v>1</v>
      </c>
      <c r="AD23">
        <v>1</v>
      </c>
      <c r="AE23">
        <v>2</v>
      </c>
      <c r="AF23">
        <v>2</v>
      </c>
      <c r="AG23">
        <v>0</v>
      </c>
      <c r="AH23">
        <v>1</v>
      </c>
      <c r="AI23">
        <v>1</v>
      </c>
      <c r="AJ23">
        <v>1</v>
      </c>
      <c r="AK23">
        <v>1</v>
      </c>
      <c r="AL23">
        <v>0</v>
      </c>
      <c r="AM23">
        <v>1</v>
      </c>
      <c r="AN23" s="4">
        <f t="shared" si="5"/>
        <v>14</v>
      </c>
    </row>
    <row r="24" spans="1:40" x14ac:dyDescent="0.25">
      <c r="A24" s="1" t="s">
        <v>132</v>
      </c>
      <c r="B24" s="11" t="s">
        <v>40</v>
      </c>
      <c r="C24" s="12">
        <f t="shared" si="0"/>
        <v>133.5</v>
      </c>
      <c r="D24" s="12">
        <f t="shared" ref="D24:D29" si="6">$W$39</f>
        <v>290</v>
      </c>
      <c r="E24" s="13">
        <f t="shared" si="2"/>
        <v>0.46034482758620687</v>
      </c>
      <c r="F24" s="14">
        <f t="shared" si="3"/>
        <v>17.5</v>
      </c>
      <c r="H24">
        <v>9.5</v>
      </c>
      <c r="I24">
        <v>5</v>
      </c>
      <c r="J24">
        <v>7</v>
      </c>
      <c r="K24">
        <v>10</v>
      </c>
      <c r="L24">
        <v>12</v>
      </c>
      <c r="M24">
        <v>10.5</v>
      </c>
      <c r="N24">
        <v>8.5</v>
      </c>
      <c r="O24">
        <v>9</v>
      </c>
      <c r="P24">
        <v>9.5</v>
      </c>
      <c r="Q24">
        <v>7.5</v>
      </c>
      <c r="R24">
        <v>9.5</v>
      </c>
      <c r="S24">
        <v>10.5</v>
      </c>
      <c r="T24">
        <v>14</v>
      </c>
      <c r="U24">
        <v>3</v>
      </c>
      <c r="V24">
        <v>8</v>
      </c>
      <c r="W24" s="4">
        <f t="shared" si="4"/>
        <v>133.5</v>
      </c>
      <c r="Y24">
        <v>2</v>
      </c>
      <c r="Z24">
        <v>0</v>
      </c>
      <c r="AA24">
        <v>2</v>
      </c>
      <c r="AB24">
        <v>0</v>
      </c>
      <c r="AC24">
        <v>1</v>
      </c>
      <c r="AD24">
        <v>1</v>
      </c>
      <c r="AE24">
        <v>2</v>
      </c>
      <c r="AF24">
        <v>0</v>
      </c>
      <c r="AG24">
        <v>1</v>
      </c>
      <c r="AH24">
        <v>1</v>
      </c>
      <c r="AI24">
        <v>1.5</v>
      </c>
      <c r="AJ24">
        <v>0</v>
      </c>
      <c r="AK24">
        <v>2</v>
      </c>
      <c r="AL24">
        <v>2</v>
      </c>
      <c r="AM24">
        <v>2</v>
      </c>
      <c r="AN24" s="4">
        <f t="shared" si="5"/>
        <v>17.5</v>
      </c>
    </row>
    <row r="25" spans="1:40" x14ac:dyDescent="0.25">
      <c r="A25" s="1" t="s">
        <v>133</v>
      </c>
      <c r="B25" s="11" t="s">
        <v>53</v>
      </c>
      <c r="C25" s="12">
        <f t="shared" si="0"/>
        <v>133.5</v>
      </c>
      <c r="D25" s="12">
        <f t="shared" si="6"/>
        <v>290</v>
      </c>
      <c r="E25" s="13">
        <f t="shared" si="2"/>
        <v>0.46034482758620687</v>
      </c>
      <c r="F25" s="14">
        <f t="shared" si="3"/>
        <v>14.5</v>
      </c>
      <c r="H25">
        <v>7.5</v>
      </c>
      <c r="I25">
        <v>6</v>
      </c>
      <c r="J25">
        <v>10</v>
      </c>
      <c r="K25">
        <v>6</v>
      </c>
      <c r="L25">
        <v>8</v>
      </c>
      <c r="M25">
        <v>14.5</v>
      </c>
      <c r="N25">
        <v>7.5</v>
      </c>
      <c r="O25">
        <v>6</v>
      </c>
      <c r="P25">
        <v>13.5</v>
      </c>
      <c r="Q25">
        <v>12.5</v>
      </c>
      <c r="R25">
        <v>13.5</v>
      </c>
      <c r="S25">
        <v>7.5</v>
      </c>
      <c r="T25">
        <v>7</v>
      </c>
      <c r="U25">
        <v>2</v>
      </c>
      <c r="V25">
        <v>12</v>
      </c>
      <c r="W25" s="4">
        <f t="shared" si="4"/>
        <v>133.5</v>
      </c>
      <c r="Y25">
        <v>0</v>
      </c>
      <c r="Z25">
        <v>1</v>
      </c>
      <c r="AA25">
        <v>1</v>
      </c>
      <c r="AB25">
        <v>0</v>
      </c>
      <c r="AC25">
        <v>1</v>
      </c>
      <c r="AD25">
        <v>1.5</v>
      </c>
      <c r="AE25">
        <v>2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0</v>
      </c>
      <c r="AM25">
        <v>2</v>
      </c>
      <c r="AN25" s="4">
        <f t="shared" si="5"/>
        <v>14.5</v>
      </c>
    </row>
    <row r="26" spans="1:40" x14ac:dyDescent="0.25">
      <c r="A26" s="1" t="s">
        <v>134</v>
      </c>
      <c r="B26" s="11" t="s">
        <v>56</v>
      </c>
      <c r="C26" s="12">
        <f t="shared" si="0"/>
        <v>132.5</v>
      </c>
      <c r="D26" s="12">
        <f t="shared" si="6"/>
        <v>290</v>
      </c>
      <c r="E26" s="13">
        <f t="shared" si="2"/>
        <v>0.45689655172413796</v>
      </c>
      <c r="F26" s="14">
        <f t="shared" si="3"/>
        <v>17</v>
      </c>
      <c r="H26">
        <v>8.5</v>
      </c>
      <c r="I26">
        <v>5</v>
      </c>
      <c r="J26">
        <v>8</v>
      </c>
      <c r="K26">
        <v>9</v>
      </c>
      <c r="L26">
        <v>9</v>
      </c>
      <c r="M26">
        <v>8.5</v>
      </c>
      <c r="N26">
        <v>7.5</v>
      </c>
      <c r="O26">
        <v>10</v>
      </c>
      <c r="P26">
        <v>7.5</v>
      </c>
      <c r="Q26">
        <v>11.5</v>
      </c>
      <c r="R26">
        <v>12.5</v>
      </c>
      <c r="S26">
        <v>10.5</v>
      </c>
      <c r="T26">
        <v>13</v>
      </c>
      <c r="U26">
        <v>2</v>
      </c>
      <c r="V26">
        <v>10</v>
      </c>
      <c r="W26" s="4">
        <f t="shared" si="4"/>
        <v>132.5</v>
      </c>
      <c r="Y26">
        <v>2</v>
      </c>
      <c r="Z26">
        <v>1</v>
      </c>
      <c r="AA26">
        <v>1</v>
      </c>
      <c r="AB26">
        <v>1</v>
      </c>
      <c r="AC26">
        <v>0</v>
      </c>
      <c r="AD26">
        <v>0</v>
      </c>
      <c r="AE26">
        <v>1</v>
      </c>
      <c r="AF26">
        <v>2</v>
      </c>
      <c r="AG26">
        <v>2</v>
      </c>
      <c r="AH26">
        <v>1</v>
      </c>
      <c r="AI26">
        <v>2</v>
      </c>
      <c r="AJ26">
        <v>2</v>
      </c>
      <c r="AK26">
        <v>1</v>
      </c>
      <c r="AL26">
        <v>1</v>
      </c>
      <c r="AM26">
        <v>0</v>
      </c>
      <c r="AN26" s="4">
        <f t="shared" si="5"/>
        <v>17</v>
      </c>
    </row>
    <row r="27" spans="1:40" x14ac:dyDescent="0.25">
      <c r="A27" s="1" t="s">
        <v>135</v>
      </c>
      <c r="B27" s="11" t="s">
        <v>46</v>
      </c>
      <c r="C27" s="12">
        <f t="shared" si="0"/>
        <v>132.5</v>
      </c>
      <c r="D27" s="12">
        <f t="shared" si="6"/>
        <v>290</v>
      </c>
      <c r="E27" s="13">
        <f t="shared" si="2"/>
        <v>0.45689655172413796</v>
      </c>
      <c r="F27" s="14">
        <f t="shared" si="3"/>
        <v>14.5</v>
      </c>
      <c r="H27">
        <v>9.5</v>
      </c>
      <c r="I27">
        <v>9</v>
      </c>
      <c r="J27">
        <v>11</v>
      </c>
      <c r="K27">
        <v>9</v>
      </c>
      <c r="L27">
        <v>8</v>
      </c>
      <c r="M27">
        <v>9.5</v>
      </c>
      <c r="N27">
        <v>10.5</v>
      </c>
      <c r="O27">
        <v>9</v>
      </c>
      <c r="P27">
        <v>5.5</v>
      </c>
      <c r="Q27">
        <v>5.5</v>
      </c>
      <c r="R27">
        <v>7.5</v>
      </c>
      <c r="S27">
        <v>13.5</v>
      </c>
      <c r="T27">
        <v>9</v>
      </c>
      <c r="U27">
        <v>4</v>
      </c>
      <c r="V27">
        <v>12</v>
      </c>
      <c r="W27" s="4">
        <f t="shared" si="4"/>
        <v>132.5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2</v>
      </c>
      <c r="AF27">
        <v>2</v>
      </c>
      <c r="AG27">
        <v>0</v>
      </c>
      <c r="AH27">
        <v>0</v>
      </c>
      <c r="AI27">
        <v>0.5</v>
      </c>
      <c r="AJ27">
        <v>1</v>
      </c>
      <c r="AK27">
        <v>0</v>
      </c>
      <c r="AL27">
        <v>1</v>
      </c>
      <c r="AM27">
        <v>2</v>
      </c>
      <c r="AN27" s="4">
        <f t="shared" si="5"/>
        <v>14.5</v>
      </c>
    </row>
    <row r="28" spans="1:40" x14ac:dyDescent="0.25">
      <c r="A28" s="1" t="s">
        <v>136</v>
      </c>
      <c r="B28" s="11" t="s">
        <v>192</v>
      </c>
      <c r="C28" s="12">
        <f t="shared" si="0"/>
        <v>132.5</v>
      </c>
      <c r="D28" s="12">
        <f t="shared" si="6"/>
        <v>290</v>
      </c>
      <c r="E28" s="13">
        <f t="shared" si="2"/>
        <v>0.45689655172413796</v>
      </c>
      <c r="F28" s="14">
        <f t="shared" si="3"/>
        <v>12.5</v>
      </c>
      <c r="H28">
        <v>11.5</v>
      </c>
      <c r="I28">
        <v>5</v>
      </c>
      <c r="J28">
        <v>14</v>
      </c>
      <c r="K28">
        <v>8</v>
      </c>
      <c r="L28">
        <v>8</v>
      </c>
      <c r="M28">
        <v>12.5</v>
      </c>
      <c r="N28">
        <v>8.5</v>
      </c>
      <c r="O28">
        <v>11</v>
      </c>
      <c r="P28">
        <v>11.5</v>
      </c>
      <c r="Q28">
        <v>11.5</v>
      </c>
      <c r="R28">
        <v>8.5</v>
      </c>
      <c r="S28">
        <v>10.5</v>
      </c>
      <c r="T28">
        <v>7</v>
      </c>
      <c r="U28">
        <v>1</v>
      </c>
      <c r="V28">
        <v>4</v>
      </c>
      <c r="W28" s="4">
        <f t="shared" si="4"/>
        <v>132.5</v>
      </c>
      <c r="Y28">
        <v>2</v>
      </c>
      <c r="Z28">
        <v>0</v>
      </c>
      <c r="AA28">
        <v>2</v>
      </c>
      <c r="AB28">
        <v>0</v>
      </c>
      <c r="AC28">
        <v>1</v>
      </c>
      <c r="AD28">
        <v>2</v>
      </c>
      <c r="AE28">
        <v>0</v>
      </c>
      <c r="AF28">
        <v>1</v>
      </c>
      <c r="AG28">
        <v>1</v>
      </c>
      <c r="AH28">
        <v>1.5</v>
      </c>
      <c r="AI28">
        <v>0</v>
      </c>
      <c r="AJ28">
        <v>1</v>
      </c>
      <c r="AK28">
        <v>1</v>
      </c>
      <c r="AL28">
        <v>0</v>
      </c>
      <c r="AM28">
        <v>0</v>
      </c>
      <c r="AN28" s="4">
        <f t="shared" si="5"/>
        <v>12.5</v>
      </c>
    </row>
    <row r="29" spans="1:40" x14ac:dyDescent="0.25">
      <c r="A29" s="1" t="s">
        <v>137</v>
      </c>
      <c r="B29" s="11" t="s">
        <v>62</v>
      </c>
      <c r="C29" s="12">
        <f t="shared" si="0"/>
        <v>132.5</v>
      </c>
      <c r="D29" s="12">
        <f t="shared" si="6"/>
        <v>290</v>
      </c>
      <c r="E29" s="13">
        <f t="shared" si="2"/>
        <v>0.45689655172413796</v>
      </c>
      <c r="F29" s="14">
        <f t="shared" si="3"/>
        <v>11.5</v>
      </c>
      <c r="H29">
        <v>4.5</v>
      </c>
      <c r="I29">
        <v>8</v>
      </c>
      <c r="J29">
        <v>9</v>
      </c>
      <c r="K29">
        <v>8</v>
      </c>
      <c r="L29">
        <v>14</v>
      </c>
      <c r="M29">
        <v>9.5</v>
      </c>
      <c r="N29">
        <v>9.5</v>
      </c>
      <c r="O29">
        <v>8</v>
      </c>
      <c r="P29">
        <v>9.5</v>
      </c>
      <c r="Q29">
        <v>10.5</v>
      </c>
      <c r="R29">
        <v>9.5</v>
      </c>
      <c r="S29">
        <v>8.5</v>
      </c>
      <c r="T29">
        <v>11</v>
      </c>
      <c r="U29">
        <v>3</v>
      </c>
      <c r="V29">
        <v>10</v>
      </c>
      <c r="W29" s="4">
        <f t="shared" si="4"/>
        <v>132.5</v>
      </c>
      <c r="Y29">
        <v>1</v>
      </c>
      <c r="Z29">
        <v>1</v>
      </c>
      <c r="AA29">
        <v>0</v>
      </c>
      <c r="AB29">
        <v>1</v>
      </c>
      <c r="AC29">
        <v>1</v>
      </c>
      <c r="AD29">
        <v>1</v>
      </c>
      <c r="AE29">
        <v>1</v>
      </c>
      <c r="AF29">
        <v>0</v>
      </c>
      <c r="AG29">
        <v>1</v>
      </c>
      <c r="AH29">
        <v>0</v>
      </c>
      <c r="AI29">
        <v>1.5</v>
      </c>
      <c r="AJ29">
        <v>0</v>
      </c>
      <c r="AK29">
        <v>1</v>
      </c>
      <c r="AL29">
        <v>0</v>
      </c>
      <c r="AM29">
        <v>2</v>
      </c>
      <c r="AN29" s="4">
        <f t="shared" si="5"/>
        <v>11.5</v>
      </c>
    </row>
    <row r="30" spans="1:40" x14ac:dyDescent="0.25">
      <c r="A30" s="1" t="s">
        <v>368</v>
      </c>
      <c r="B30" s="11" t="s">
        <v>198</v>
      </c>
      <c r="C30" s="12">
        <f t="shared" si="0"/>
        <v>131</v>
      </c>
      <c r="D30" s="12">
        <f>$W$39-$H$39</f>
        <v>273</v>
      </c>
      <c r="E30" s="13">
        <f t="shared" si="2"/>
        <v>0.47985347985347987</v>
      </c>
      <c r="F30" s="14">
        <f t="shared" si="3"/>
        <v>12.5</v>
      </c>
      <c r="H30" s="15" t="s">
        <v>63</v>
      </c>
      <c r="I30">
        <v>7</v>
      </c>
      <c r="J30">
        <v>14</v>
      </c>
      <c r="K30">
        <v>5</v>
      </c>
      <c r="L30">
        <v>7</v>
      </c>
      <c r="M30">
        <v>11.5</v>
      </c>
      <c r="N30">
        <v>8.5</v>
      </c>
      <c r="O30">
        <v>9</v>
      </c>
      <c r="P30">
        <v>10.5</v>
      </c>
      <c r="Q30">
        <v>11.5</v>
      </c>
      <c r="R30">
        <v>11.5</v>
      </c>
      <c r="S30">
        <v>10.5</v>
      </c>
      <c r="T30">
        <v>12</v>
      </c>
      <c r="U30">
        <v>3</v>
      </c>
      <c r="V30">
        <v>10</v>
      </c>
      <c r="W30" s="4">
        <f t="shared" si="4"/>
        <v>131</v>
      </c>
      <c r="Y30" s="15" t="s">
        <v>63</v>
      </c>
      <c r="Z30">
        <v>0</v>
      </c>
      <c r="AA30">
        <v>0</v>
      </c>
      <c r="AB30">
        <v>1</v>
      </c>
      <c r="AC30">
        <v>2</v>
      </c>
      <c r="AD30">
        <v>2</v>
      </c>
      <c r="AE30">
        <v>1</v>
      </c>
      <c r="AF30">
        <v>1</v>
      </c>
      <c r="AG30">
        <v>1</v>
      </c>
      <c r="AH30">
        <v>0.5</v>
      </c>
      <c r="AI30">
        <v>1</v>
      </c>
      <c r="AJ30">
        <v>0</v>
      </c>
      <c r="AK30">
        <v>1</v>
      </c>
      <c r="AL30">
        <v>1</v>
      </c>
      <c r="AM30">
        <v>1</v>
      </c>
      <c r="AN30" s="4">
        <f t="shared" si="5"/>
        <v>12.5</v>
      </c>
    </row>
    <row r="31" spans="1:40" x14ac:dyDescent="0.25">
      <c r="A31" s="1" t="s">
        <v>139</v>
      </c>
      <c r="B31" s="11" t="s">
        <v>39</v>
      </c>
      <c r="C31" s="12">
        <f t="shared" si="0"/>
        <v>130.5</v>
      </c>
      <c r="D31" s="12">
        <f>$W$39</f>
        <v>290</v>
      </c>
      <c r="E31" s="13">
        <f t="shared" si="2"/>
        <v>0.45</v>
      </c>
      <c r="F31" s="14">
        <f t="shared" si="3"/>
        <v>19.5</v>
      </c>
      <c r="H31">
        <v>11.5</v>
      </c>
      <c r="I31">
        <v>8</v>
      </c>
      <c r="J31">
        <v>12</v>
      </c>
      <c r="K31">
        <v>8</v>
      </c>
      <c r="L31">
        <v>6</v>
      </c>
      <c r="M31">
        <v>11.5</v>
      </c>
      <c r="N31">
        <v>5.5</v>
      </c>
      <c r="O31">
        <v>8</v>
      </c>
      <c r="P31">
        <v>12.5</v>
      </c>
      <c r="Q31">
        <v>6.5</v>
      </c>
      <c r="R31">
        <v>12.5</v>
      </c>
      <c r="S31">
        <v>7.5</v>
      </c>
      <c r="T31">
        <v>3</v>
      </c>
      <c r="U31">
        <v>4</v>
      </c>
      <c r="V31">
        <v>14</v>
      </c>
      <c r="W31" s="4">
        <f t="shared" si="4"/>
        <v>130.5</v>
      </c>
      <c r="Y31">
        <v>1</v>
      </c>
      <c r="Z31">
        <v>1</v>
      </c>
      <c r="AA31">
        <v>2</v>
      </c>
      <c r="AB31">
        <v>0</v>
      </c>
      <c r="AC31">
        <v>0</v>
      </c>
      <c r="AD31">
        <v>2</v>
      </c>
      <c r="AE31">
        <v>2</v>
      </c>
      <c r="AF31">
        <v>1</v>
      </c>
      <c r="AG31">
        <v>1.5</v>
      </c>
      <c r="AH31">
        <v>1.5</v>
      </c>
      <c r="AI31">
        <v>1.5</v>
      </c>
      <c r="AJ31">
        <v>2</v>
      </c>
      <c r="AK31">
        <v>2</v>
      </c>
      <c r="AL31">
        <v>0</v>
      </c>
      <c r="AM31">
        <v>2</v>
      </c>
      <c r="AN31" s="4">
        <f t="shared" si="5"/>
        <v>19.5</v>
      </c>
    </row>
    <row r="32" spans="1:40" x14ac:dyDescent="0.25">
      <c r="A32" s="1" t="s">
        <v>140</v>
      </c>
      <c r="B32" s="11" t="s">
        <v>196</v>
      </c>
      <c r="C32" s="12">
        <f t="shared" si="0"/>
        <v>130.5</v>
      </c>
      <c r="D32" s="12">
        <f>$W$39</f>
        <v>290</v>
      </c>
      <c r="E32" s="13">
        <f t="shared" si="2"/>
        <v>0.45</v>
      </c>
      <c r="F32" s="14">
        <f t="shared" si="3"/>
        <v>13.5</v>
      </c>
      <c r="H32">
        <v>11.5</v>
      </c>
      <c r="I32">
        <v>6</v>
      </c>
      <c r="J32">
        <v>12</v>
      </c>
      <c r="K32">
        <v>7</v>
      </c>
      <c r="L32">
        <v>10</v>
      </c>
      <c r="M32">
        <v>7.5</v>
      </c>
      <c r="N32">
        <v>3.5</v>
      </c>
      <c r="O32">
        <v>10</v>
      </c>
      <c r="P32">
        <v>10.5</v>
      </c>
      <c r="Q32">
        <v>8.5</v>
      </c>
      <c r="R32">
        <v>11.5</v>
      </c>
      <c r="S32">
        <v>9.5</v>
      </c>
      <c r="T32">
        <v>10</v>
      </c>
      <c r="U32">
        <v>4</v>
      </c>
      <c r="V32">
        <v>9</v>
      </c>
      <c r="W32" s="4">
        <f t="shared" si="4"/>
        <v>130.5</v>
      </c>
      <c r="Y32">
        <v>2</v>
      </c>
      <c r="Z32">
        <v>0</v>
      </c>
      <c r="AA32">
        <v>2</v>
      </c>
      <c r="AB32">
        <v>0</v>
      </c>
      <c r="AC32">
        <v>1</v>
      </c>
      <c r="AD32">
        <v>1</v>
      </c>
      <c r="AE32">
        <v>0</v>
      </c>
      <c r="AF32">
        <v>1</v>
      </c>
      <c r="AG32">
        <v>1</v>
      </c>
      <c r="AH32">
        <v>0</v>
      </c>
      <c r="AI32">
        <v>1</v>
      </c>
      <c r="AJ32">
        <v>0.5</v>
      </c>
      <c r="AK32">
        <v>2</v>
      </c>
      <c r="AL32">
        <v>1</v>
      </c>
      <c r="AM32">
        <v>1</v>
      </c>
      <c r="AN32" s="4">
        <f t="shared" si="5"/>
        <v>13.5</v>
      </c>
    </row>
    <row r="33" spans="1:40" x14ac:dyDescent="0.25">
      <c r="A33" s="1" t="s">
        <v>141</v>
      </c>
      <c r="B33" s="11" t="s">
        <v>38</v>
      </c>
      <c r="C33" s="12">
        <f t="shared" si="0"/>
        <v>128.5</v>
      </c>
      <c r="D33" s="12">
        <f>$W$39</f>
        <v>290</v>
      </c>
      <c r="E33" s="13">
        <f t="shared" si="2"/>
        <v>0.44310344827586207</v>
      </c>
      <c r="F33" s="14">
        <f t="shared" si="3"/>
        <v>17</v>
      </c>
      <c r="H33">
        <v>10.5</v>
      </c>
      <c r="I33">
        <v>8</v>
      </c>
      <c r="J33">
        <v>12</v>
      </c>
      <c r="K33">
        <v>8</v>
      </c>
      <c r="L33">
        <v>5</v>
      </c>
      <c r="M33">
        <v>8.5</v>
      </c>
      <c r="N33">
        <v>4.5</v>
      </c>
      <c r="O33">
        <v>9</v>
      </c>
      <c r="P33">
        <v>8.5</v>
      </c>
      <c r="Q33">
        <v>14.5</v>
      </c>
      <c r="R33">
        <v>11.5</v>
      </c>
      <c r="S33">
        <v>9.5</v>
      </c>
      <c r="T33">
        <v>10</v>
      </c>
      <c r="U33">
        <v>3</v>
      </c>
      <c r="V33">
        <v>6</v>
      </c>
      <c r="W33" s="4">
        <f t="shared" si="4"/>
        <v>128.5</v>
      </c>
      <c r="Y33">
        <v>1</v>
      </c>
      <c r="Z33">
        <v>1</v>
      </c>
      <c r="AA33">
        <v>2</v>
      </c>
      <c r="AB33">
        <v>1</v>
      </c>
      <c r="AC33">
        <v>1</v>
      </c>
      <c r="AD33">
        <v>1</v>
      </c>
      <c r="AE33">
        <v>1</v>
      </c>
      <c r="AF33">
        <v>2</v>
      </c>
      <c r="AG33">
        <v>0</v>
      </c>
      <c r="AH33">
        <v>1</v>
      </c>
      <c r="AI33">
        <v>2</v>
      </c>
      <c r="AJ33">
        <v>1</v>
      </c>
      <c r="AK33">
        <v>1</v>
      </c>
      <c r="AL33">
        <v>0</v>
      </c>
      <c r="AM33">
        <v>2</v>
      </c>
      <c r="AN33" s="4">
        <f t="shared" si="5"/>
        <v>17</v>
      </c>
    </row>
    <row r="34" spans="1:40" x14ac:dyDescent="0.25">
      <c r="A34" s="1" t="s">
        <v>142</v>
      </c>
      <c r="B34" s="11" t="s">
        <v>195</v>
      </c>
      <c r="C34" s="12">
        <f t="shared" si="0"/>
        <v>128.5</v>
      </c>
      <c r="D34" s="12">
        <f>$W$39</f>
        <v>290</v>
      </c>
      <c r="E34" s="13">
        <f t="shared" si="2"/>
        <v>0.44310344827586207</v>
      </c>
      <c r="F34" s="14">
        <f t="shared" si="3"/>
        <v>16.5</v>
      </c>
      <c r="H34">
        <v>10.5</v>
      </c>
      <c r="I34">
        <v>6</v>
      </c>
      <c r="J34">
        <v>15</v>
      </c>
      <c r="K34">
        <v>5</v>
      </c>
      <c r="L34">
        <v>7</v>
      </c>
      <c r="M34">
        <v>14.5</v>
      </c>
      <c r="N34">
        <v>5.5</v>
      </c>
      <c r="O34">
        <v>8</v>
      </c>
      <c r="P34">
        <v>7.5</v>
      </c>
      <c r="Q34">
        <v>10.5</v>
      </c>
      <c r="R34">
        <v>10.5</v>
      </c>
      <c r="S34">
        <v>10.5</v>
      </c>
      <c r="T34">
        <v>10</v>
      </c>
      <c r="U34">
        <v>4</v>
      </c>
      <c r="V34">
        <v>4</v>
      </c>
      <c r="W34" s="4">
        <f t="shared" si="4"/>
        <v>128.5</v>
      </c>
      <c r="Y34">
        <v>2</v>
      </c>
      <c r="Z34">
        <v>0</v>
      </c>
      <c r="AA34">
        <v>2</v>
      </c>
      <c r="AB34">
        <v>1</v>
      </c>
      <c r="AC34">
        <v>0</v>
      </c>
      <c r="AD34">
        <v>1</v>
      </c>
      <c r="AE34">
        <v>0.5</v>
      </c>
      <c r="AF34">
        <v>2</v>
      </c>
      <c r="AG34">
        <v>0</v>
      </c>
      <c r="AH34">
        <v>1</v>
      </c>
      <c r="AI34">
        <v>2</v>
      </c>
      <c r="AJ34">
        <v>1</v>
      </c>
      <c r="AK34">
        <v>2</v>
      </c>
      <c r="AL34">
        <v>2</v>
      </c>
      <c r="AM34">
        <v>0</v>
      </c>
      <c r="AN34" s="4">
        <f t="shared" si="5"/>
        <v>16.5</v>
      </c>
    </row>
    <row r="35" spans="1:40" x14ac:dyDescent="0.25">
      <c r="A35" s="1" t="s">
        <v>143</v>
      </c>
      <c r="B35" s="11" t="s">
        <v>37</v>
      </c>
      <c r="C35" s="12">
        <f t="shared" si="0"/>
        <v>118.5</v>
      </c>
      <c r="D35" s="12">
        <f>$W$39</f>
        <v>290</v>
      </c>
      <c r="E35" s="13">
        <f t="shared" si="2"/>
        <v>0.4086206896551724</v>
      </c>
      <c r="F35" s="14">
        <f t="shared" si="3"/>
        <v>11.5</v>
      </c>
      <c r="H35">
        <v>7.5</v>
      </c>
      <c r="I35">
        <v>8</v>
      </c>
      <c r="J35">
        <v>6</v>
      </c>
      <c r="K35">
        <v>9</v>
      </c>
      <c r="L35">
        <v>4</v>
      </c>
      <c r="M35">
        <v>8.5</v>
      </c>
      <c r="N35">
        <v>3.5</v>
      </c>
      <c r="O35">
        <v>10</v>
      </c>
      <c r="P35">
        <v>10.5</v>
      </c>
      <c r="Q35">
        <v>7.5</v>
      </c>
      <c r="R35">
        <v>15.5</v>
      </c>
      <c r="S35">
        <v>9.5</v>
      </c>
      <c r="T35">
        <v>3</v>
      </c>
      <c r="U35">
        <v>2</v>
      </c>
      <c r="V35">
        <v>14</v>
      </c>
      <c r="W35" s="4">
        <f t="shared" si="4"/>
        <v>118.5</v>
      </c>
      <c r="Y35">
        <v>1</v>
      </c>
      <c r="Z35">
        <v>1</v>
      </c>
      <c r="AA35">
        <v>0</v>
      </c>
      <c r="AB35">
        <v>2</v>
      </c>
      <c r="AC35">
        <v>1</v>
      </c>
      <c r="AD35">
        <v>0</v>
      </c>
      <c r="AE35">
        <v>0</v>
      </c>
      <c r="AF35">
        <v>2</v>
      </c>
      <c r="AG35">
        <v>1</v>
      </c>
      <c r="AH35">
        <v>1</v>
      </c>
      <c r="AI35">
        <v>0.5</v>
      </c>
      <c r="AJ35">
        <v>1</v>
      </c>
      <c r="AK35">
        <v>0</v>
      </c>
      <c r="AL35">
        <v>0</v>
      </c>
      <c r="AM35">
        <v>1</v>
      </c>
      <c r="AN35" s="4">
        <f t="shared" si="5"/>
        <v>11.5</v>
      </c>
    </row>
    <row r="36" spans="1:40" x14ac:dyDescent="0.25">
      <c r="A36" s="1" t="s">
        <v>366</v>
      </c>
      <c r="B36" s="11" t="s">
        <v>193</v>
      </c>
      <c r="C36" s="12">
        <f t="shared" si="0"/>
        <v>66</v>
      </c>
      <c r="D36" s="12">
        <f>$W$39-$Q$39-$R$39-$S$39-$T$39-$U$39-$V$39</f>
        <v>168</v>
      </c>
      <c r="E36" s="13">
        <f t="shared" si="2"/>
        <v>0.39285714285714285</v>
      </c>
      <c r="F36" s="14">
        <f t="shared" si="3"/>
        <v>5</v>
      </c>
      <c r="H36">
        <v>11.5</v>
      </c>
      <c r="I36">
        <v>8</v>
      </c>
      <c r="J36">
        <v>12</v>
      </c>
      <c r="K36">
        <v>6</v>
      </c>
      <c r="L36">
        <v>9</v>
      </c>
      <c r="M36">
        <v>6.5</v>
      </c>
      <c r="N36">
        <v>3.5</v>
      </c>
      <c r="O36">
        <v>5</v>
      </c>
      <c r="P36">
        <v>4.5</v>
      </c>
      <c r="Q36" s="15" t="s">
        <v>63</v>
      </c>
      <c r="R36" s="15" t="s">
        <v>63</v>
      </c>
      <c r="S36" s="15" t="s">
        <v>63</v>
      </c>
      <c r="T36" s="15" t="s">
        <v>63</v>
      </c>
      <c r="U36" s="15" t="s">
        <v>63</v>
      </c>
      <c r="V36" s="15" t="s">
        <v>63</v>
      </c>
      <c r="W36" s="4">
        <f t="shared" si="4"/>
        <v>66</v>
      </c>
      <c r="Y36">
        <v>2</v>
      </c>
      <c r="Z36">
        <v>0</v>
      </c>
      <c r="AA36">
        <v>2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 s="15" t="s">
        <v>63</v>
      </c>
      <c r="AI36" s="15" t="s">
        <v>63</v>
      </c>
      <c r="AJ36" s="15" t="s">
        <v>63</v>
      </c>
      <c r="AK36" s="15" t="s">
        <v>63</v>
      </c>
      <c r="AL36" s="15" t="s">
        <v>63</v>
      </c>
      <c r="AM36" s="15" t="s">
        <v>63</v>
      </c>
      <c r="AN36" s="4">
        <f t="shared" si="5"/>
        <v>5</v>
      </c>
    </row>
    <row r="37" spans="1:40" x14ac:dyDescent="0.25">
      <c r="B37" s="16"/>
      <c r="C37" s="17"/>
      <c r="D37" s="17"/>
      <c r="E37" s="18"/>
      <c r="F37" s="19"/>
    </row>
    <row r="38" spans="1:40" ht="15.75" thickBot="1" x14ac:dyDescent="0.3">
      <c r="B38" s="20" t="s">
        <v>106</v>
      </c>
      <c r="C38" s="21">
        <f>W38</f>
        <v>138</v>
      </c>
      <c r="D38" s="21">
        <f>$W$39</f>
        <v>290</v>
      </c>
      <c r="E38" s="22">
        <f>C38/D38</f>
        <v>0.47586206896551725</v>
      </c>
      <c r="F38" s="23">
        <f>AN38</f>
        <v>17.5</v>
      </c>
      <c r="H38">
        <v>11.5</v>
      </c>
      <c r="I38">
        <v>6</v>
      </c>
      <c r="J38">
        <v>12.5</v>
      </c>
      <c r="K38">
        <v>6</v>
      </c>
      <c r="L38">
        <v>8</v>
      </c>
      <c r="M38">
        <v>10.5</v>
      </c>
      <c r="N38">
        <v>7.5</v>
      </c>
      <c r="O38">
        <v>11</v>
      </c>
      <c r="P38">
        <v>10.5</v>
      </c>
      <c r="Q38">
        <v>8.5</v>
      </c>
      <c r="R38">
        <v>12.5</v>
      </c>
      <c r="S38">
        <v>9.5</v>
      </c>
      <c r="T38">
        <v>10</v>
      </c>
      <c r="U38">
        <v>4</v>
      </c>
      <c r="V38">
        <v>10</v>
      </c>
      <c r="W38" s="4">
        <f>SUM(H38:V38)</f>
        <v>138</v>
      </c>
      <c r="Y38">
        <v>2</v>
      </c>
      <c r="Z38">
        <v>0</v>
      </c>
      <c r="AA38">
        <v>2</v>
      </c>
      <c r="AB38">
        <v>1</v>
      </c>
      <c r="AC38">
        <v>1</v>
      </c>
      <c r="AD38">
        <v>1</v>
      </c>
      <c r="AE38">
        <v>2</v>
      </c>
      <c r="AF38">
        <v>1</v>
      </c>
      <c r="AG38">
        <v>0</v>
      </c>
      <c r="AH38">
        <v>1</v>
      </c>
      <c r="AI38">
        <v>1.5</v>
      </c>
      <c r="AJ38">
        <v>1</v>
      </c>
      <c r="AK38">
        <v>2</v>
      </c>
      <c r="AL38">
        <v>1</v>
      </c>
      <c r="AM38">
        <v>1</v>
      </c>
      <c r="AN38" s="4">
        <f>SUM(Y38:AM38)</f>
        <v>17.5</v>
      </c>
    </row>
    <row r="39" spans="1:40" x14ac:dyDescent="0.25">
      <c r="B39" s="35"/>
      <c r="C39" s="3"/>
      <c r="D39" s="3"/>
      <c r="E39" s="3"/>
      <c r="F39" s="3"/>
      <c r="H39">
        <v>17</v>
      </c>
      <c r="I39">
        <v>17</v>
      </c>
      <c r="J39">
        <v>20</v>
      </c>
      <c r="K39">
        <v>20</v>
      </c>
      <c r="L39">
        <v>20</v>
      </c>
      <c r="M39">
        <v>21</v>
      </c>
      <c r="N39">
        <v>15</v>
      </c>
      <c r="O39">
        <v>16</v>
      </c>
      <c r="P39">
        <v>22</v>
      </c>
      <c r="Q39">
        <v>22</v>
      </c>
      <c r="R39">
        <v>21</v>
      </c>
      <c r="S39">
        <v>22</v>
      </c>
      <c r="T39">
        <v>22</v>
      </c>
      <c r="U39">
        <v>7</v>
      </c>
      <c r="V39">
        <v>28</v>
      </c>
      <c r="W39" s="24">
        <f>SUM(H39:V39)</f>
        <v>290</v>
      </c>
    </row>
    <row r="40" spans="1:40" ht="19.5" thickBot="1" x14ac:dyDescent="0.35">
      <c r="B40" s="2" t="s">
        <v>197</v>
      </c>
      <c r="C40" s="3"/>
      <c r="D40" s="3"/>
      <c r="E40" s="3"/>
      <c r="F40" s="3"/>
    </row>
    <row r="41" spans="1:40" x14ac:dyDescent="0.25">
      <c r="A41" s="1">
        <v>1</v>
      </c>
      <c r="B41" s="110" t="s">
        <v>251</v>
      </c>
      <c r="C41" s="99">
        <f>D41/E41</f>
        <v>0.5234375</v>
      </c>
      <c r="D41" s="100">
        <f>VLOOKUP("Conklin, Don",$B$3:$F$38,2, FALSE)</f>
        <v>134</v>
      </c>
      <c r="E41" s="100">
        <f>VLOOKUP("Conklin, Don",$B$3:$F$38,3, FALSE)</f>
        <v>256</v>
      </c>
      <c r="F41" s="101">
        <f>VLOOKUP("Conklin, Don",$B$3:$F$38,5, FALSE)</f>
        <v>14</v>
      </c>
    </row>
    <row r="42" spans="1:40" ht="15.75" thickBot="1" x14ac:dyDescent="0.3">
      <c r="A42" s="1">
        <v>2</v>
      </c>
      <c r="B42" s="20" t="s">
        <v>198</v>
      </c>
      <c r="C42" s="22">
        <f>D42/E42</f>
        <v>0.47985347985347987</v>
      </c>
      <c r="D42" s="21">
        <f>VLOOKUP("Sloan, Kenneth",$B$3:$F$38,2, FALSE)</f>
        <v>131</v>
      </c>
      <c r="E42" s="21">
        <f>VLOOKUP("Sloan, Kenneth",$B$3:$F$38,3, FALSE)</f>
        <v>273</v>
      </c>
      <c r="F42" s="23">
        <f>VLOOKUP("Sloan, Kenneth",$B$3:$F$38,5, FALSE)</f>
        <v>12.5</v>
      </c>
    </row>
    <row r="44" spans="1:40" x14ac:dyDescent="0.25">
      <c r="B44" s="25" t="s">
        <v>64</v>
      </c>
      <c r="C44" s="12">
        <f>$W$44</f>
        <v>147.5</v>
      </c>
      <c r="D44" s="12">
        <f>$W$39</f>
        <v>290</v>
      </c>
      <c r="E44" s="13">
        <f>C44/D44</f>
        <v>0.50862068965517238</v>
      </c>
      <c r="F44" s="12" t="s">
        <v>63</v>
      </c>
      <c r="H44">
        <v>10.5</v>
      </c>
      <c r="I44">
        <v>8</v>
      </c>
      <c r="J44">
        <v>17</v>
      </c>
      <c r="K44">
        <v>5</v>
      </c>
      <c r="L44">
        <v>8</v>
      </c>
      <c r="M44">
        <v>12.5</v>
      </c>
      <c r="N44">
        <v>6.5</v>
      </c>
      <c r="O44">
        <v>11</v>
      </c>
      <c r="P44">
        <v>11.5</v>
      </c>
      <c r="Q44">
        <v>11.5</v>
      </c>
      <c r="R44">
        <v>9.5</v>
      </c>
      <c r="S44">
        <v>11.5</v>
      </c>
      <c r="T44">
        <v>9</v>
      </c>
      <c r="U44">
        <v>4</v>
      </c>
      <c r="V44">
        <v>12</v>
      </c>
      <c r="W44" s="4">
        <f>SUM(H44:V44)</f>
        <v>147.5</v>
      </c>
    </row>
    <row r="46" spans="1:40" x14ac:dyDescent="0.25">
      <c r="B46" s="4"/>
    </row>
  </sheetData>
  <phoneticPr fontId="8" type="noConversion"/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37"/>
  <sheetViews>
    <sheetView workbookViewId="0">
      <selection activeCell="H1" sqref="H1"/>
    </sheetView>
  </sheetViews>
  <sheetFormatPr defaultColWidth="8.85546875" defaultRowHeight="15" x14ac:dyDescent="0.25"/>
  <cols>
    <col min="1" max="1" width="9.28515625" style="1" bestFit="1" customWidth="1"/>
    <col min="2" max="2" width="20" bestFit="1" customWidth="1"/>
    <col min="3" max="3" width="7.42578125" style="9" bestFit="1" customWidth="1"/>
    <col min="4" max="4" width="6" style="9" bestFit="1" customWidth="1"/>
    <col min="5" max="5" width="7.140625" style="9" bestFit="1" customWidth="1"/>
    <col min="6" max="6" width="10" style="9" bestFit="1" customWidth="1"/>
    <col min="7" max="7" width="2.7109375" customWidth="1"/>
    <col min="8" max="12" width="3.42578125" bestFit="1" customWidth="1"/>
    <col min="13" max="13" width="5" bestFit="1" customWidth="1"/>
    <col min="14" max="14" width="5.42578125" bestFit="1" customWidth="1"/>
    <col min="15" max="16" width="3.42578125" bestFit="1" customWidth="1"/>
    <col min="17" max="17" width="4.42578125" bestFit="1" customWidth="1"/>
    <col min="18" max="18" width="5" bestFit="1" customWidth="1"/>
    <col min="19" max="21" width="4.42578125" bestFit="1" customWidth="1"/>
    <col min="22" max="22" width="6.28515625" bestFit="1" customWidth="1"/>
    <col min="23" max="23" width="5.42578125" style="4" bestFit="1" customWidth="1"/>
    <col min="24" max="24" width="2.7109375" customWidth="1"/>
    <col min="25" max="29" width="3" bestFit="1" customWidth="1"/>
    <col min="30" max="30" width="4" bestFit="1" customWidth="1"/>
    <col min="31" max="33" width="3" bestFit="1" customWidth="1"/>
    <col min="34" max="38" width="4" bestFit="1" customWidth="1"/>
    <col min="39" max="39" width="6.28515625" bestFit="1" customWidth="1"/>
    <col min="40" max="40" width="5.42578125" style="4" bestFit="1" customWidth="1"/>
  </cols>
  <sheetData>
    <row r="1" spans="1:40" ht="19.5" thickBot="1" x14ac:dyDescent="0.35">
      <c r="B1" s="2" t="s">
        <v>184</v>
      </c>
      <c r="C1" s="3"/>
      <c r="D1" s="3"/>
      <c r="E1" s="3"/>
      <c r="F1" s="3"/>
      <c r="G1" s="35"/>
    </row>
    <row r="2" spans="1:40" s="9" customFormat="1" x14ac:dyDescent="0.25">
      <c r="A2" s="5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20</v>
      </c>
      <c r="W2" s="10" t="s">
        <v>2</v>
      </c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20</v>
      </c>
      <c r="AN2" s="10" t="s">
        <v>2</v>
      </c>
    </row>
    <row r="3" spans="1:40" x14ac:dyDescent="0.25">
      <c r="A3" s="1" t="s">
        <v>111</v>
      </c>
      <c r="B3" s="11" t="s">
        <v>36</v>
      </c>
      <c r="C3" s="12">
        <f t="shared" ref="C3:C30" si="0">W3</f>
        <v>158.5</v>
      </c>
      <c r="D3" s="12">
        <f t="shared" ref="D3:D28" si="1">$W$33</f>
        <v>288</v>
      </c>
      <c r="E3" s="13">
        <f t="shared" ref="E3:E30" si="2">C3/D3</f>
        <v>0.55034722222222221</v>
      </c>
      <c r="F3" s="14">
        <f t="shared" ref="F3:F16" si="3">AN3</f>
        <v>16</v>
      </c>
      <c r="H3">
        <v>10</v>
      </c>
      <c r="I3">
        <v>9</v>
      </c>
      <c r="J3">
        <v>14</v>
      </c>
      <c r="K3">
        <v>7</v>
      </c>
      <c r="L3">
        <v>14</v>
      </c>
      <c r="M3">
        <v>13.5</v>
      </c>
      <c r="N3">
        <v>11.5</v>
      </c>
      <c r="O3">
        <v>9</v>
      </c>
      <c r="P3">
        <v>7</v>
      </c>
      <c r="Q3">
        <v>9</v>
      </c>
      <c r="R3">
        <v>9.5</v>
      </c>
      <c r="S3">
        <v>12</v>
      </c>
      <c r="T3">
        <v>15</v>
      </c>
      <c r="U3">
        <v>7</v>
      </c>
      <c r="V3">
        <v>11</v>
      </c>
      <c r="W3" s="4">
        <f t="shared" ref="W3:W30" si="4">SUM(H3:V3)</f>
        <v>158.5</v>
      </c>
      <c r="Y3">
        <v>2</v>
      </c>
      <c r="Z3">
        <v>0</v>
      </c>
      <c r="AA3">
        <v>0</v>
      </c>
      <c r="AB3">
        <v>1</v>
      </c>
      <c r="AC3">
        <v>2</v>
      </c>
      <c r="AD3">
        <v>1</v>
      </c>
      <c r="AE3">
        <v>0</v>
      </c>
      <c r="AF3">
        <v>1</v>
      </c>
      <c r="AG3">
        <v>0</v>
      </c>
      <c r="AH3">
        <v>0</v>
      </c>
      <c r="AI3">
        <v>2</v>
      </c>
      <c r="AJ3">
        <v>2</v>
      </c>
      <c r="AK3">
        <v>2</v>
      </c>
      <c r="AL3">
        <v>1</v>
      </c>
      <c r="AM3">
        <v>2</v>
      </c>
      <c r="AN3" s="4">
        <f t="shared" ref="AN3:AN30" si="5">SUM(Y3:AM3)</f>
        <v>16</v>
      </c>
    </row>
    <row r="4" spans="1:40" x14ac:dyDescent="0.25">
      <c r="A4" s="1" t="s">
        <v>112</v>
      </c>
      <c r="B4" s="11" t="s">
        <v>39</v>
      </c>
      <c r="C4" s="12">
        <f t="shared" si="0"/>
        <v>155.5</v>
      </c>
      <c r="D4" s="12">
        <f t="shared" si="1"/>
        <v>288</v>
      </c>
      <c r="E4" s="13">
        <f t="shared" si="2"/>
        <v>0.53993055555555558</v>
      </c>
      <c r="F4" s="14">
        <f t="shared" si="3"/>
        <v>15</v>
      </c>
      <c r="H4">
        <v>12</v>
      </c>
      <c r="I4">
        <v>7</v>
      </c>
      <c r="J4">
        <v>13</v>
      </c>
      <c r="K4">
        <v>8</v>
      </c>
      <c r="L4">
        <v>11</v>
      </c>
      <c r="M4">
        <v>10.5</v>
      </c>
      <c r="N4">
        <v>9.5</v>
      </c>
      <c r="O4">
        <v>10</v>
      </c>
      <c r="P4">
        <v>10</v>
      </c>
      <c r="Q4">
        <v>11</v>
      </c>
      <c r="R4">
        <v>10.5</v>
      </c>
      <c r="S4">
        <v>8</v>
      </c>
      <c r="T4">
        <v>15</v>
      </c>
      <c r="U4">
        <v>6</v>
      </c>
      <c r="V4">
        <v>14</v>
      </c>
      <c r="W4" s="4">
        <f t="shared" si="4"/>
        <v>155.5</v>
      </c>
      <c r="Y4">
        <v>0</v>
      </c>
      <c r="Z4">
        <v>0</v>
      </c>
      <c r="AA4">
        <v>1</v>
      </c>
      <c r="AB4">
        <v>2</v>
      </c>
      <c r="AC4">
        <v>0</v>
      </c>
      <c r="AD4">
        <v>2</v>
      </c>
      <c r="AE4">
        <v>1</v>
      </c>
      <c r="AF4">
        <v>1</v>
      </c>
      <c r="AG4">
        <v>1</v>
      </c>
      <c r="AH4">
        <v>1</v>
      </c>
      <c r="AI4">
        <v>0</v>
      </c>
      <c r="AJ4">
        <v>2</v>
      </c>
      <c r="AK4">
        <v>1</v>
      </c>
      <c r="AL4">
        <v>0</v>
      </c>
      <c r="AM4">
        <v>3</v>
      </c>
      <c r="AN4" s="4">
        <f t="shared" si="5"/>
        <v>15</v>
      </c>
    </row>
    <row r="5" spans="1:40" x14ac:dyDescent="0.25">
      <c r="A5" s="1" t="s">
        <v>113</v>
      </c>
      <c r="B5" s="11" t="s">
        <v>42</v>
      </c>
      <c r="C5" s="12">
        <f t="shared" si="0"/>
        <v>153.5</v>
      </c>
      <c r="D5" s="12">
        <f t="shared" si="1"/>
        <v>288</v>
      </c>
      <c r="E5" s="13">
        <f t="shared" si="2"/>
        <v>0.53298611111111116</v>
      </c>
      <c r="F5" s="14">
        <f t="shared" si="3"/>
        <v>14.5</v>
      </c>
      <c r="H5">
        <v>11</v>
      </c>
      <c r="I5">
        <v>6</v>
      </c>
      <c r="J5">
        <v>12</v>
      </c>
      <c r="K5">
        <v>8</v>
      </c>
      <c r="L5">
        <v>9</v>
      </c>
      <c r="M5">
        <v>12.5</v>
      </c>
      <c r="N5">
        <v>13.5</v>
      </c>
      <c r="O5">
        <v>12</v>
      </c>
      <c r="P5">
        <v>9</v>
      </c>
      <c r="Q5">
        <v>12</v>
      </c>
      <c r="R5">
        <v>9.5</v>
      </c>
      <c r="S5">
        <v>13</v>
      </c>
      <c r="T5">
        <v>15</v>
      </c>
      <c r="U5">
        <v>4</v>
      </c>
      <c r="V5">
        <v>7</v>
      </c>
      <c r="W5" s="4">
        <f t="shared" si="4"/>
        <v>153.5</v>
      </c>
      <c r="Y5">
        <v>1</v>
      </c>
      <c r="Z5">
        <v>1</v>
      </c>
      <c r="AA5">
        <v>1</v>
      </c>
      <c r="AB5">
        <v>0</v>
      </c>
      <c r="AC5">
        <v>1</v>
      </c>
      <c r="AD5">
        <v>0.5</v>
      </c>
      <c r="AE5">
        <v>1</v>
      </c>
      <c r="AF5">
        <v>1</v>
      </c>
      <c r="AG5">
        <v>1</v>
      </c>
      <c r="AH5">
        <v>0</v>
      </c>
      <c r="AI5">
        <v>2</v>
      </c>
      <c r="AJ5">
        <v>0</v>
      </c>
      <c r="AK5">
        <v>1</v>
      </c>
      <c r="AL5">
        <v>1</v>
      </c>
      <c r="AM5">
        <v>3</v>
      </c>
      <c r="AN5" s="4">
        <f t="shared" si="5"/>
        <v>14.5</v>
      </c>
    </row>
    <row r="6" spans="1:40" x14ac:dyDescent="0.25">
      <c r="A6" s="1" t="s">
        <v>114</v>
      </c>
      <c r="B6" s="11" t="s">
        <v>47</v>
      </c>
      <c r="C6" s="12">
        <f t="shared" si="0"/>
        <v>152.5</v>
      </c>
      <c r="D6" s="12">
        <f t="shared" si="1"/>
        <v>288</v>
      </c>
      <c r="E6" s="13">
        <f t="shared" si="2"/>
        <v>0.52951388888888884</v>
      </c>
      <c r="F6" s="14">
        <f t="shared" si="3"/>
        <v>19</v>
      </c>
      <c r="H6">
        <v>9</v>
      </c>
      <c r="I6">
        <v>12</v>
      </c>
      <c r="J6">
        <v>10</v>
      </c>
      <c r="K6">
        <v>8</v>
      </c>
      <c r="L6">
        <v>9</v>
      </c>
      <c r="M6">
        <v>9.5</v>
      </c>
      <c r="N6">
        <v>9.5</v>
      </c>
      <c r="O6">
        <v>11</v>
      </c>
      <c r="P6">
        <v>9</v>
      </c>
      <c r="Q6">
        <v>14</v>
      </c>
      <c r="R6">
        <v>12.5</v>
      </c>
      <c r="S6">
        <v>13</v>
      </c>
      <c r="T6">
        <v>10</v>
      </c>
      <c r="U6">
        <v>5</v>
      </c>
      <c r="V6">
        <v>11</v>
      </c>
      <c r="W6" s="4">
        <f t="shared" si="4"/>
        <v>152.5</v>
      </c>
      <c r="Y6">
        <v>1</v>
      </c>
      <c r="Z6">
        <v>0</v>
      </c>
      <c r="AA6">
        <v>1</v>
      </c>
      <c r="AB6">
        <v>1</v>
      </c>
      <c r="AC6">
        <v>0</v>
      </c>
      <c r="AD6">
        <v>1</v>
      </c>
      <c r="AE6">
        <v>2</v>
      </c>
      <c r="AF6">
        <v>2</v>
      </c>
      <c r="AG6">
        <v>2</v>
      </c>
      <c r="AH6">
        <v>0</v>
      </c>
      <c r="AI6">
        <v>2</v>
      </c>
      <c r="AJ6">
        <v>2</v>
      </c>
      <c r="AK6">
        <v>0</v>
      </c>
      <c r="AL6">
        <v>2</v>
      </c>
      <c r="AM6">
        <v>3</v>
      </c>
      <c r="AN6" s="4">
        <f t="shared" si="5"/>
        <v>19</v>
      </c>
    </row>
    <row r="7" spans="1:40" x14ac:dyDescent="0.25">
      <c r="A7" s="1" t="s">
        <v>115</v>
      </c>
      <c r="B7" s="11" t="s">
        <v>43</v>
      </c>
      <c r="C7" s="12">
        <f t="shared" si="0"/>
        <v>152.5</v>
      </c>
      <c r="D7" s="12">
        <f t="shared" si="1"/>
        <v>288</v>
      </c>
      <c r="E7" s="13">
        <f t="shared" si="2"/>
        <v>0.52951388888888884</v>
      </c>
      <c r="F7" s="14">
        <f t="shared" si="3"/>
        <v>15</v>
      </c>
      <c r="H7">
        <v>7</v>
      </c>
      <c r="I7">
        <v>8</v>
      </c>
      <c r="J7">
        <v>10</v>
      </c>
      <c r="K7">
        <v>9</v>
      </c>
      <c r="L7">
        <v>10</v>
      </c>
      <c r="M7">
        <v>14.5</v>
      </c>
      <c r="N7">
        <v>10.5</v>
      </c>
      <c r="O7">
        <v>13</v>
      </c>
      <c r="P7">
        <v>13</v>
      </c>
      <c r="Q7">
        <v>10</v>
      </c>
      <c r="R7">
        <v>8.5</v>
      </c>
      <c r="S7">
        <v>12</v>
      </c>
      <c r="T7">
        <v>13</v>
      </c>
      <c r="U7">
        <v>5</v>
      </c>
      <c r="V7">
        <v>9</v>
      </c>
      <c r="W7" s="4">
        <f t="shared" si="4"/>
        <v>152.5</v>
      </c>
      <c r="Y7">
        <v>1</v>
      </c>
      <c r="Z7">
        <v>0</v>
      </c>
      <c r="AA7">
        <v>0</v>
      </c>
      <c r="AB7">
        <v>0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2</v>
      </c>
      <c r="AJ7">
        <v>1</v>
      </c>
      <c r="AK7">
        <v>1</v>
      </c>
      <c r="AL7">
        <v>1</v>
      </c>
      <c r="AM7">
        <v>3</v>
      </c>
      <c r="AN7" s="4">
        <f t="shared" si="5"/>
        <v>15</v>
      </c>
    </row>
    <row r="8" spans="1:40" x14ac:dyDescent="0.25">
      <c r="A8" s="1" t="s">
        <v>116</v>
      </c>
      <c r="B8" s="11" t="s">
        <v>57</v>
      </c>
      <c r="C8" s="12">
        <f t="shared" si="0"/>
        <v>150.5</v>
      </c>
      <c r="D8" s="12">
        <f t="shared" si="1"/>
        <v>288</v>
      </c>
      <c r="E8" s="13">
        <f t="shared" si="2"/>
        <v>0.52256944444444442</v>
      </c>
      <c r="F8" s="14">
        <f t="shared" si="3"/>
        <v>20.5</v>
      </c>
      <c r="H8">
        <v>8</v>
      </c>
      <c r="I8">
        <v>6</v>
      </c>
      <c r="J8">
        <v>11</v>
      </c>
      <c r="K8">
        <v>9</v>
      </c>
      <c r="L8">
        <v>8</v>
      </c>
      <c r="M8">
        <v>12.5</v>
      </c>
      <c r="N8">
        <v>12.5</v>
      </c>
      <c r="O8">
        <v>12</v>
      </c>
      <c r="P8">
        <v>10</v>
      </c>
      <c r="Q8">
        <v>10</v>
      </c>
      <c r="R8">
        <v>12.5</v>
      </c>
      <c r="S8">
        <v>11</v>
      </c>
      <c r="T8">
        <v>14</v>
      </c>
      <c r="U8">
        <v>5</v>
      </c>
      <c r="V8">
        <v>9</v>
      </c>
      <c r="W8" s="4">
        <f t="shared" si="4"/>
        <v>150.5</v>
      </c>
      <c r="Y8">
        <v>1</v>
      </c>
      <c r="Z8">
        <v>1</v>
      </c>
      <c r="AA8">
        <v>2</v>
      </c>
      <c r="AB8">
        <v>1</v>
      </c>
      <c r="AC8">
        <v>2</v>
      </c>
      <c r="AD8">
        <v>1.5</v>
      </c>
      <c r="AE8">
        <v>2</v>
      </c>
      <c r="AF8">
        <v>1</v>
      </c>
      <c r="AG8">
        <v>2</v>
      </c>
      <c r="AH8">
        <v>0</v>
      </c>
      <c r="AI8">
        <v>2</v>
      </c>
      <c r="AJ8">
        <v>1</v>
      </c>
      <c r="AK8">
        <v>2</v>
      </c>
      <c r="AL8">
        <v>1</v>
      </c>
      <c r="AM8">
        <v>1</v>
      </c>
      <c r="AN8" s="4">
        <f t="shared" si="5"/>
        <v>20.5</v>
      </c>
    </row>
    <row r="9" spans="1:40" x14ac:dyDescent="0.25">
      <c r="A9" s="1" t="s">
        <v>117</v>
      </c>
      <c r="B9" s="11" t="s">
        <v>53</v>
      </c>
      <c r="C9" s="12">
        <f t="shared" si="0"/>
        <v>150.5</v>
      </c>
      <c r="D9" s="12">
        <f t="shared" si="1"/>
        <v>288</v>
      </c>
      <c r="E9" s="13">
        <f t="shared" si="2"/>
        <v>0.52256944444444442</v>
      </c>
      <c r="F9" s="14">
        <f t="shared" si="3"/>
        <v>13</v>
      </c>
      <c r="H9">
        <v>9</v>
      </c>
      <c r="I9">
        <v>5</v>
      </c>
      <c r="J9">
        <v>13</v>
      </c>
      <c r="K9">
        <v>10</v>
      </c>
      <c r="L9">
        <v>9</v>
      </c>
      <c r="M9">
        <v>9.5</v>
      </c>
      <c r="N9">
        <v>13.5</v>
      </c>
      <c r="O9">
        <v>12</v>
      </c>
      <c r="P9">
        <v>10</v>
      </c>
      <c r="Q9">
        <v>12</v>
      </c>
      <c r="R9">
        <v>10.5</v>
      </c>
      <c r="S9">
        <v>12</v>
      </c>
      <c r="T9">
        <v>13</v>
      </c>
      <c r="U9">
        <v>5</v>
      </c>
      <c r="V9">
        <v>7</v>
      </c>
      <c r="W9" s="4">
        <f t="shared" si="4"/>
        <v>150.5</v>
      </c>
      <c r="Y9">
        <v>2</v>
      </c>
      <c r="Z9">
        <v>0</v>
      </c>
      <c r="AA9">
        <v>1</v>
      </c>
      <c r="AB9">
        <v>1</v>
      </c>
      <c r="AC9">
        <v>1</v>
      </c>
      <c r="AD9">
        <v>1</v>
      </c>
      <c r="AE9">
        <v>0</v>
      </c>
      <c r="AF9">
        <v>1</v>
      </c>
      <c r="AG9">
        <v>1</v>
      </c>
      <c r="AH9">
        <v>0</v>
      </c>
      <c r="AI9">
        <v>1</v>
      </c>
      <c r="AJ9">
        <v>1</v>
      </c>
      <c r="AK9">
        <v>1</v>
      </c>
      <c r="AL9">
        <v>1</v>
      </c>
      <c r="AM9">
        <v>1</v>
      </c>
      <c r="AN9" s="4">
        <f t="shared" si="5"/>
        <v>13</v>
      </c>
    </row>
    <row r="10" spans="1:40" x14ac:dyDescent="0.25">
      <c r="A10" s="1" t="s">
        <v>118</v>
      </c>
      <c r="B10" s="11" t="s">
        <v>59</v>
      </c>
      <c r="C10" s="12">
        <f t="shared" si="0"/>
        <v>149.5</v>
      </c>
      <c r="D10" s="12">
        <f t="shared" si="1"/>
        <v>288</v>
      </c>
      <c r="E10" s="13">
        <f t="shared" si="2"/>
        <v>0.51909722222222221</v>
      </c>
      <c r="F10" s="14">
        <f t="shared" si="3"/>
        <v>17</v>
      </c>
      <c r="H10">
        <v>10</v>
      </c>
      <c r="I10">
        <v>8</v>
      </c>
      <c r="J10">
        <v>12</v>
      </c>
      <c r="K10">
        <v>7</v>
      </c>
      <c r="L10">
        <v>9</v>
      </c>
      <c r="M10">
        <v>7.5</v>
      </c>
      <c r="N10">
        <v>8.5</v>
      </c>
      <c r="O10">
        <v>13</v>
      </c>
      <c r="P10">
        <v>8</v>
      </c>
      <c r="Q10">
        <v>10</v>
      </c>
      <c r="R10">
        <v>10.5</v>
      </c>
      <c r="S10">
        <v>12</v>
      </c>
      <c r="T10">
        <v>17</v>
      </c>
      <c r="U10">
        <v>5</v>
      </c>
      <c r="V10">
        <v>12</v>
      </c>
      <c r="W10" s="4">
        <f t="shared" si="4"/>
        <v>149.5</v>
      </c>
      <c r="Y10">
        <v>0</v>
      </c>
      <c r="Z10">
        <v>0</v>
      </c>
      <c r="AA10">
        <v>1</v>
      </c>
      <c r="AB10">
        <v>1</v>
      </c>
      <c r="AC10">
        <v>2</v>
      </c>
      <c r="AD10">
        <v>1.5</v>
      </c>
      <c r="AE10">
        <v>2</v>
      </c>
      <c r="AF10">
        <v>2</v>
      </c>
      <c r="AG10">
        <v>0</v>
      </c>
      <c r="AH10">
        <v>1</v>
      </c>
      <c r="AI10">
        <v>1.5</v>
      </c>
      <c r="AJ10">
        <v>1</v>
      </c>
      <c r="AK10">
        <v>2</v>
      </c>
      <c r="AL10">
        <v>1</v>
      </c>
      <c r="AM10">
        <v>1</v>
      </c>
      <c r="AN10" s="4">
        <f t="shared" si="5"/>
        <v>17</v>
      </c>
    </row>
    <row r="11" spans="1:40" x14ac:dyDescent="0.25">
      <c r="A11" s="1" t="s">
        <v>119</v>
      </c>
      <c r="B11" s="11" t="s">
        <v>38</v>
      </c>
      <c r="C11" s="12">
        <f t="shared" si="0"/>
        <v>146.5</v>
      </c>
      <c r="D11" s="12">
        <f t="shared" si="1"/>
        <v>288</v>
      </c>
      <c r="E11" s="13">
        <f t="shared" si="2"/>
        <v>0.50868055555555558</v>
      </c>
      <c r="F11" s="14">
        <f t="shared" si="3"/>
        <v>17.5</v>
      </c>
      <c r="H11">
        <v>11</v>
      </c>
      <c r="I11">
        <v>11</v>
      </c>
      <c r="J11">
        <v>10</v>
      </c>
      <c r="K11">
        <v>9</v>
      </c>
      <c r="L11">
        <v>12</v>
      </c>
      <c r="M11">
        <v>10.5</v>
      </c>
      <c r="N11">
        <v>11.5</v>
      </c>
      <c r="O11">
        <v>10</v>
      </c>
      <c r="P11">
        <v>10</v>
      </c>
      <c r="Q11">
        <v>8</v>
      </c>
      <c r="R11">
        <v>11.5</v>
      </c>
      <c r="S11">
        <v>7</v>
      </c>
      <c r="T11">
        <v>13</v>
      </c>
      <c r="U11">
        <v>3</v>
      </c>
      <c r="V11">
        <v>9</v>
      </c>
      <c r="W11" s="4">
        <f t="shared" si="4"/>
        <v>146.5</v>
      </c>
      <c r="Y11">
        <v>1</v>
      </c>
      <c r="Z11">
        <v>2</v>
      </c>
      <c r="AA11">
        <v>2</v>
      </c>
      <c r="AB11">
        <v>0</v>
      </c>
      <c r="AC11">
        <v>1</v>
      </c>
      <c r="AD11">
        <v>0</v>
      </c>
      <c r="AE11">
        <v>2</v>
      </c>
      <c r="AF11">
        <v>0</v>
      </c>
      <c r="AG11">
        <v>1</v>
      </c>
      <c r="AH11">
        <v>1</v>
      </c>
      <c r="AI11">
        <v>1.5</v>
      </c>
      <c r="AJ11">
        <v>1</v>
      </c>
      <c r="AK11">
        <v>1</v>
      </c>
      <c r="AL11">
        <v>0</v>
      </c>
      <c r="AM11">
        <v>4</v>
      </c>
      <c r="AN11" s="4">
        <f t="shared" si="5"/>
        <v>17.5</v>
      </c>
    </row>
    <row r="12" spans="1:40" x14ac:dyDescent="0.25">
      <c r="A12" s="1" t="s">
        <v>120</v>
      </c>
      <c r="B12" s="11" t="s">
        <v>37</v>
      </c>
      <c r="C12" s="12">
        <f t="shared" si="0"/>
        <v>146.5</v>
      </c>
      <c r="D12" s="12">
        <f t="shared" si="1"/>
        <v>288</v>
      </c>
      <c r="E12" s="13">
        <f t="shared" si="2"/>
        <v>0.50868055555555558</v>
      </c>
      <c r="F12" s="14">
        <f t="shared" si="3"/>
        <v>16</v>
      </c>
      <c r="H12">
        <v>10</v>
      </c>
      <c r="I12">
        <v>10</v>
      </c>
      <c r="J12">
        <v>13</v>
      </c>
      <c r="K12">
        <v>12</v>
      </c>
      <c r="L12">
        <v>9</v>
      </c>
      <c r="M12">
        <v>10.5</v>
      </c>
      <c r="N12">
        <v>12.5</v>
      </c>
      <c r="O12">
        <v>8</v>
      </c>
      <c r="P12">
        <v>9</v>
      </c>
      <c r="Q12">
        <v>8</v>
      </c>
      <c r="R12">
        <v>8.5</v>
      </c>
      <c r="S12">
        <v>9</v>
      </c>
      <c r="T12">
        <v>10</v>
      </c>
      <c r="U12">
        <v>3</v>
      </c>
      <c r="V12">
        <v>14</v>
      </c>
      <c r="W12" s="4">
        <f t="shared" si="4"/>
        <v>146.5</v>
      </c>
      <c r="Y12">
        <v>1</v>
      </c>
      <c r="Z12">
        <v>0</v>
      </c>
      <c r="AA12">
        <v>2</v>
      </c>
      <c r="AB12">
        <v>1</v>
      </c>
      <c r="AC12">
        <v>0</v>
      </c>
      <c r="AD12">
        <v>2</v>
      </c>
      <c r="AE12">
        <v>1</v>
      </c>
      <c r="AF12">
        <v>1</v>
      </c>
      <c r="AG12">
        <v>1</v>
      </c>
      <c r="AH12">
        <v>0</v>
      </c>
      <c r="AI12">
        <v>1</v>
      </c>
      <c r="AJ12">
        <v>1</v>
      </c>
      <c r="AK12">
        <v>1</v>
      </c>
      <c r="AL12">
        <v>0</v>
      </c>
      <c r="AM12">
        <v>4</v>
      </c>
      <c r="AN12" s="4">
        <f t="shared" si="5"/>
        <v>16</v>
      </c>
    </row>
    <row r="13" spans="1:40" x14ac:dyDescent="0.25">
      <c r="A13" s="1" t="s">
        <v>121</v>
      </c>
      <c r="B13" s="11" t="s">
        <v>48</v>
      </c>
      <c r="C13" s="12">
        <f t="shared" si="0"/>
        <v>145.5</v>
      </c>
      <c r="D13" s="12">
        <f t="shared" si="1"/>
        <v>288</v>
      </c>
      <c r="E13" s="13">
        <f t="shared" si="2"/>
        <v>0.50520833333333337</v>
      </c>
      <c r="F13" s="14">
        <f t="shared" si="3"/>
        <v>14</v>
      </c>
      <c r="H13">
        <v>6</v>
      </c>
      <c r="I13">
        <v>9</v>
      </c>
      <c r="J13">
        <v>12</v>
      </c>
      <c r="K13">
        <v>9</v>
      </c>
      <c r="L13">
        <v>10</v>
      </c>
      <c r="M13">
        <v>11.5</v>
      </c>
      <c r="N13">
        <v>8.5</v>
      </c>
      <c r="O13">
        <v>12</v>
      </c>
      <c r="P13">
        <v>9</v>
      </c>
      <c r="Q13">
        <v>8</v>
      </c>
      <c r="R13">
        <v>12.5</v>
      </c>
      <c r="S13">
        <v>10</v>
      </c>
      <c r="T13">
        <v>14</v>
      </c>
      <c r="U13">
        <v>5</v>
      </c>
      <c r="V13">
        <v>9</v>
      </c>
      <c r="W13" s="4">
        <f t="shared" si="4"/>
        <v>145.5</v>
      </c>
      <c r="Y13">
        <v>0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1</v>
      </c>
      <c r="AF13">
        <v>2</v>
      </c>
      <c r="AG13">
        <v>1</v>
      </c>
      <c r="AH13">
        <v>0</v>
      </c>
      <c r="AI13">
        <v>2</v>
      </c>
      <c r="AJ13">
        <v>0</v>
      </c>
      <c r="AK13">
        <v>1</v>
      </c>
      <c r="AL13">
        <v>2</v>
      </c>
      <c r="AM13">
        <v>1</v>
      </c>
      <c r="AN13" s="4">
        <f t="shared" si="5"/>
        <v>14</v>
      </c>
    </row>
    <row r="14" spans="1:40" x14ac:dyDescent="0.25">
      <c r="A14" s="1" t="s">
        <v>122</v>
      </c>
      <c r="B14" s="11" t="s">
        <v>40</v>
      </c>
      <c r="C14" s="12">
        <f t="shared" si="0"/>
        <v>144.5</v>
      </c>
      <c r="D14" s="12">
        <f t="shared" si="1"/>
        <v>288</v>
      </c>
      <c r="E14" s="13">
        <f t="shared" si="2"/>
        <v>0.50173611111111116</v>
      </c>
      <c r="F14" s="14">
        <f t="shared" si="3"/>
        <v>21</v>
      </c>
      <c r="H14">
        <v>8</v>
      </c>
      <c r="I14">
        <v>12</v>
      </c>
      <c r="J14">
        <v>10</v>
      </c>
      <c r="K14">
        <v>8</v>
      </c>
      <c r="L14">
        <v>10</v>
      </c>
      <c r="M14">
        <v>12.5</v>
      </c>
      <c r="N14">
        <v>6.5</v>
      </c>
      <c r="O14">
        <v>11</v>
      </c>
      <c r="P14">
        <v>7</v>
      </c>
      <c r="Q14">
        <v>10</v>
      </c>
      <c r="R14">
        <v>10.5</v>
      </c>
      <c r="S14">
        <v>11</v>
      </c>
      <c r="T14">
        <v>14</v>
      </c>
      <c r="U14">
        <v>4</v>
      </c>
      <c r="V14">
        <v>10</v>
      </c>
      <c r="W14" s="4">
        <f t="shared" si="4"/>
        <v>144.5</v>
      </c>
      <c r="Y14">
        <v>1</v>
      </c>
      <c r="Z14">
        <v>1</v>
      </c>
      <c r="AA14">
        <v>2</v>
      </c>
      <c r="AB14">
        <v>1</v>
      </c>
      <c r="AC14">
        <v>2</v>
      </c>
      <c r="AD14">
        <v>2</v>
      </c>
      <c r="AE14">
        <v>1</v>
      </c>
      <c r="AF14">
        <v>1</v>
      </c>
      <c r="AG14">
        <v>0</v>
      </c>
      <c r="AH14">
        <v>1</v>
      </c>
      <c r="AI14">
        <v>2</v>
      </c>
      <c r="AJ14">
        <v>1</v>
      </c>
      <c r="AK14">
        <v>2</v>
      </c>
      <c r="AL14">
        <v>1</v>
      </c>
      <c r="AM14">
        <v>3</v>
      </c>
      <c r="AN14" s="4">
        <f t="shared" si="5"/>
        <v>21</v>
      </c>
    </row>
    <row r="15" spans="1:40" x14ac:dyDescent="0.25">
      <c r="A15" s="1" t="s">
        <v>123</v>
      </c>
      <c r="B15" s="11" t="s">
        <v>44</v>
      </c>
      <c r="C15" s="12">
        <f t="shared" si="0"/>
        <v>144.5</v>
      </c>
      <c r="D15" s="12">
        <f t="shared" si="1"/>
        <v>288</v>
      </c>
      <c r="E15" s="13">
        <f t="shared" si="2"/>
        <v>0.50173611111111116</v>
      </c>
      <c r="F15" s="14">
        <f t="shared" si="3"/>
        <v>17</v>
      </c>
      <c r="H15">
        <v>10</v>
      </c>
      <c r="I15">
        <v>10</v>
      </c>
      <c r="J15">
        <v>9</v>
      </c>
      <c r="K15">
        <v>9</v>
      </c>
      <c r="L15">
        <v>10</v>
      </c>
      <c r="M15">
        <v>9.5</v>
      </c>
      <c r="N15">
        <v>9.5</v>
      </c>
      <c r="O15">
        <v>13</v>
      </c>
      <c r="P15">
        <v>11</v>
      </c>
      <c r="Q15">
        <v>10</v>
      </c>
      <c r="R15">
        <v>11.5</v>
      </c>
      <c r="S15">
        <v>9</v>
      </c>
      <c r="T15">
        <v>10</v>
      </c>
      <c r="U15">
        <v>5</v>
      </c>
      <c r="V15">
        <v>8</v>
      </c>
      <c r="W15" s="4">
        <f t="shared" si="4"/>
        <v>144.5</v>
      </c>
      <c r="Y15">
        <v>2</v>
      </c>
      <c r="Z15">
        <v>1</v>
      </c>
      <c r="AA15">
        <v>2</v>
      </c>
      <c r="AB15">
        <v>0</v>
      </c>
      <c r="AC15">
        <v>1</v>
      </c>
      <c r="AD15">
        <v>0</v>
      </c>
      <c r="AE15">
        <v>2</v>
      </c>
      <c r="AF15">
        <v>2</v>
      </c>
      <c r="AG15">
        <v>1</v>
      </c>
      <c r="AH15">
        <v>2</v>
      </c>
      <c r="AI15">
        <v>0</v>
      </c>
      <c r="AJ15">
        <v>1</v>
      </c>
      <c r="AK15">
        <v>0</v>
      </c>
      <c r="AL15">
        <v>1</v>
      </c>
      <c r="AM15">
        <v>2</v>
      </c>
      <c r="AN15" s="4">
        <f t="shared" si="5"/>
        <v>17</v>
      </c>
    </row>
    <row r="16" spans="1:40" x14ac:dyDescent="0.25">
      <c r="A16" s="1" t="s">
        <v>124</v>
      </c>
      <c r="B16" s="11" t="s">
        <v>52</v>
      </c>
      <c r="C16" s="12">
        <f t="shared" si="0"/>
        <v>144.5</v>
      </c>
      <c r="D16" s="12">
        <f t="shared" si="1"/>
        <v>288</v>
      </c>
      <c r="E16" s="13">
        <f t="shared" si="2"/>
        <v>0.50173611111111116</v>
      </c>
      <c r="F16" s="14">
        <f t="shared" si="3"/>
        <v>15</v>
      </c>
      <c r="H16">
        <v>8</v>
      </c>
      <c r="I16">
        <v>6</v>
      </c>
      <c r="J16">
        <v>8</v>
      </c>
      <c r="K16">
        <v>9</v>
      </c>
      <c r="L16">
        <v>11</v>
      </c>
      <c r="M16">
        <v>14.5</v>
      </c>
      <c r="N16">
        <v>9.5</v>
      </c>
      <c r="O16">
        <v>13</v>
      </c>
      <c r="P16">
        <v>10</v>
      </c>
      <c r="Q16">
        <v>9</v>
      </c>
      <c r="R16">
        <v>11.5</v>
      </c>
      <c r="S16">
        <v>11</v>
      </c>
      <c r="T16">
        <v>12</v>
      </c>
      <c r="U16">
        <v>5</v>
      </c>
      <c r="V16">
        <v>7</v>
      </c>
      <c r="W16" s="4">
        <f t="shared" si="4"/>
        <v>144.5</v>
      </c>
      <c r="Y16">
        <v>1</v>
      </c>
      <c r="Z16">
        <v>0</v>
      </c>
      <c r="AA16">
        <v>0</v>
      </c>
      <c r="AB16">
        <v>1</v>
      </c>
      <c r="AC16">
        <v>2</v>
      </c>
      <c r="AD16">
        <v>1</v>
      </c>
      <c r="AE16">
        <v>1</v>
      </c>
      <c r="AF16">
        <v>1</v>
      </c>
      <c r="AG16">
        <v>0</v>
      </c>
      <c r="AH16">
        <v>0</v>
      </c>
      <c r="AI16">
        <v>2</v>
      </c>
      <c r="AJ16">
        <v>1</v>
      </c>
      <c r="AK16">
        <v>2</v>
      </c>
      <c r="AL16">
        <v>1</v>
      </c>
      <c r="AM16">
        <v>2</v>
      </c>
      <c r="AN16" s="4">
        <f t="shared" si="5"/>
        <v>15</v>
      </c>
    </row>
    <row r="17" spans="1:40" x14ac:dyDescent="0.25">
      <c r="A17" s="1" t="s">
        <v>125</v>
      </c>
      <c r="B17" s="11" t="s">
        <v>54</v>
      </c>
      <c r="C17" s="12">
        <f t="shared" si="0"/>
        <v>143.5</v>
      </c>
      <c r="D17" s="12">
        <f t="shared" si="1"/>
        <v>288</v>
      </c>
      <c r="E17" s="13">
        <f t="shared" si="2"/>
        <v>0.4982638888888889</v>
      </c>
      <c r="F17" s="14" t="s">
        <v>185</v>
      </c>
      <c r="H17">
        <v>8</v>
      </c>
      <c r="I17">
        <v>9</v>
      </c>
      <c r="J17">
        <v>8</v>
      </c>
      <c r="K17">
        <v>8</v>
      </c>
      <c r="L17">
        <v>9</v>
      </c>
      <c r="M17">
        <v>13.5</v>
      </c>
      <c r="N17">
        <v>11.5</v>
      </c>
      <c r="O17">
        <v>13</v>
      </c>
      <c r="P17">
        <v>10</v>
      </c>
      <c r="Q17">
        <v>9</v>
      </c>
      <c r="R17">
        <v>12.5</v>
      </c>
      <c r="S17">
        <v>9</v>
      </c>
      <c r="T17">
        <v>12</v>
      </c>
      <c r="U17">
        <v>5</v>
      </c>
      <c r="V17">
        <v>6</v>
      </c>
      <c r="W17" s="4">
        <f t="shared" si="4"/>
        <v>143.5</v>
      </c>
      <c r="Y17">
        <v>1</v>
      </c>
      <c r="Z17">
        <v>1</v>
      </c>
      <c r="AA17">
        <v>1</v>
      </c>
      <c r="AB17">
        <v>1</v>
      </c>
      <c r="AC17">
        <v>0</v>
      </c>
      <c r="AD17">
        <v>1.5</v>
      </c>
      <c r="AE17">
        <v>1</v>
      </c>
      <c r="AF17">
        <v>2</v>
      </c>
      <c r="AG17">
        <v>0</v>
      </c>
      <c r="AH17">
        <v>1</v>
      </c>
      <c r="AI17">
        <v>2</v>
      </c>
      <c r="AJ17">
        <v>1</v>
      </c>
      <c r="AK17">
        <v>2</v>
      </c>
      <c r="AL17">
        <v>1</v>
      </c>
      <c r="AM17">
        <v>1</v>
      </c>
      <c r="AN17" s="4">
        <f t="shared" si="5"/>
        <v>16.5</v>
      </c>
    </row>
    <row r="18" spans="1:40" x14ac:dyDescent="0.25">
      <c r="A18" s="1" t="s">
        <v>126</v>
      </c>
      <c r="B18" s="11" t="s">
        <v>45</v>
      </c>
      <c r="C18" s="12">
        <f t="shared" si="0"/>
        <v>143.5</v>
      </c>
      <c r="D18" s="12">
        <f t="shared" si="1"/>
        <v>288</v>
      </c>
      <c r="E18" s="13">
        <f t="shared" si="2"/>
        <v>0.4982638888888889</v>
      </c>
      <c r="F18" s="14" t="s">
        <v>186</v>
      </c>
      <c r="H18">
        <v>7</v>
      </c>
      <c r="I18">
        <v>11</v>
      </c>
      <c r="J18">
        <v>8</v>
      </c>
      <c r="K18">
        <v>10</v>
      </c>
      <c r="L18">
        <v>12</v>
      </c>
      <c r="M18">
        <v>9.5</v>
      </c>
      <c r="N18">
        <v>10.5</v>
      </c>
      <c r="O18">
        <v>10</v>
      </c>
      <c r="P18">
        <v>12</v>
      </c>
      <c r="Q18">
        <v>8</v>
      </c>
      <c r="R18">
        <v>8.5</v>
      </c>
      <c r="S18">
        <v>11</v>
      </c>
      <c r="T18">
        <v>12</v>
      </c>
      <c r="U18">
        <v>4</v>
      </c>
      <c r="V18">
        <v>10</v>
      </c>
      <c r="W18" s="4">
        <f t="shared" si="4"/>
        <v>143.5</v>
      </c>
      <c r="Y18">
        <v>1</v>
      </c>
      <c r="Z18">
        <v>0</v>
      </c>
      <c r="AA18">
        <v>2</v>
      </c>
      <c r="AB18">
        <v>1</v>
      </c>
      <c r="AC18">
        <v>1</v>
      </c>
      <c r="AD18">
        <v>0.5</v>
      </c>
      <c r="AE18">
        <v>1</v>
      </c>
      <c r="AF18">
        <v>2</v>
      </c>
      <c r="AG18">
        <v>1</v>
      </c>
      <c r="AH18">
        <v>1</v>
      </c>
      <c r="AI18">
        <v>2</v>
      </c>
      <c r="AJ18">
        <v>1</v>
      </c>
      <c r="AK18">
        <v>2</v>
      </c>
      <c r="AL18">
        <v>0</v>
      </c>
      <c r="AM18">
        <v>1</v>
      </c>
      <c r="AN18" s="4">
        <f t="shared" si="5"/>
        <v>16.5</v>
      </c>
    </row>
    <row r="19" spans="1:40" x14ac:dyDescent="0.25">
      <c r="A19" s="1" t="s">
        <v>127</v>
      </c>
      <c r="B19" s="11" t="s">
        <v>51</v>
      </c>
      <c r="C19" s="12">
        <f t="shared" si="0"/>
        <v>142.5</v>
      </c>
      <c r="D19" s="12">
        <f t="shared" si="1"/>
        <v>288</v>
      </c>
      <c r="E19" s="13">
        <f t="shared" si="2"/>
        <v>0.49479166666666669</v>
      </c>
      <c r="F19" s="14">
        <f t="shared" ref="F19:F30" si="6">AN19</f>
        <v>16</v>
      </c>
      <c r="H19">
        <v>8</v>
      </c>
      <c r="I19">
        <v>6</v>
      </c>
      <c r="J19">
        <v>9</v>
      </c>
      <c r="K19">
        <v>9</v>
      </c>
      <c r="L19">
        <v>10</v>
      </c>
      <c r="M19">
        <v>14.5</v>
      </c>
      <c r="N19">
        <v>9.5</v>
      </c>
      <c r="O19">
        <v>10</v>
      </c>
      <c r="P19">
        <v>11</v>
      </c>
      <c r="Q19">
        <v>10</v>
      </c>
      <c r="R19">
        <v>10.5</v>
      </c>
      <c r="S19">
        <v>12</v>
      </c>
      <c r="T19">
        <v>11</v>
      </c>
      <c r="U19">
        <v>5</v>
      </c>
      <c r="V19">
        <v>7</v>
      </c>
      <c r="W19" s="4">
        <f t="shared" si="4"/>
        <v>142.5</v>
      </c>
      <c r="Y19">
        <v>2</v>
      </c>
      <c r="Z19">
        <v>0</v>
      </c>
      <c r="AA19">
        <v>0</v>
      </c>
      <c r="AB19">
        <v>1</v>
      </c>
      <c r="AC19">
        <v>1</v>
      </c>
      <c r="AD19">
        <v>1</v>
      </c>
      <c r="AE19">
        <v>2</v>
      </c>
      <c r="AF19">
        <v>1</v>
      </c>
      <c r="AG19">
        <v>1</v>
      </c>
      <c r="AH19">
        <v>1</v>
      </c>
      <c r="AI19">
        <v>1</v>
      </c>
      <c r="AJ19">
        <v>0</v>
      </c>
      <c r="AK19">
        <v>1</v>
      </c>
      <c r="AL19">
        <v>1</v>
      </c>
      <c r="AM19">
        <v>3</v>
      </c>
      <c r="AN19" s="4">
        <f t="shared" si="5"/>
        <v>16</v>
      </c>
    </row>
    <row r="20" spans="1:40" x14ac:dyDescent="0.25">
      <c r="A20" s="1" t="s">
        <v>128</v>
      </c>
      <c r="B20" s="11" t="s">
        <v>55</v>
      </c>
      <c r="C20" s="12">
        <f t="shared" si="0"/>
        <v>141.5</v>
      </c>
      <c r="D20" s="12">
        <f t="shared" si="1"/>
        <v>288</v>
      </c>
      <c r="E20" s="13">
        <f t="shared" si="2"/>
        <v>0.49131944444444442</v>
      </c>
      <c r="F20" s="14">
        <f t="shared" si="6"/>
        <v>14</v>
      </c>
      <c r="H20">
        <v>8</v>
      </c>
      <c r="I20">
        <v>10</v>
      </c>
      <c r="J20">
        <v>6</v>
      </c>
      <c r="K20">
        <v>11</v>
      </c>
      <c r="L20">
        <v>10</v>
      </c>
      <c r="M20">
        <v>10.5</v>
      </c>
      <c r="N20">
        <v>10.5</v>
      </c>
      <c r="O20">
        <v>11</v>
      </c>
      <c r="P20">
        <v>9</v>
      </c>
      <c r="Q20">
        <v>8</v>
      </c>
      <c r="R20">
        <v>10.5</v>
      </c>
      <c r="S20">
        <v>11</v>
      </c>
      <c r="T20">
        <v>14</v>
      </c>
      <c r="U20">
        <v>4</v>
      </c>
      <c r="V20">
        <v>8</v>
      </c>
      <c r="W20" s="4">
        <f t="shared" si="4"/>
        <v>141.5</v>
      </c>
      <c r="Y20">
        <v>0</v>
      </c>
      <c r="Z20">
        <v>1</v>
      </c>
      <c r="AA20">
        <v>0</v>
      </c>
      <c r="AB20">
        <v>1</v>
      </c>
      <c r="AC20">
        <v>2</v>
      </c>
      <c r="AD20">
        <v>0</v>
      </c>
      <c r="AE20">
        <v>2</v>
      </c>
      <c r="AF20">
        <v>0</v>
      </c>
      <c r="AG20">
        <v>1</v>
      </c>
      <c r="AH20">
        <v>0</v>
      </c>
      <c r="AI20">
        <v>2</v>
      </c>
      <c r="AJ20">
        <v>0</v>
      </c>
      <c r="AK20">
        <v>2</v>
      </c>
      <c r="AL20">
        <v>1</v>
      </c>
      <c r="AM20">
        <v>2</v>
      </c>
      <c r="AN20" s="4">
        <f t="shared" si="5"/>
        <v>14</v>
      </c>
    </row>
    <row r="21" spans="1:40" x14ac:dyDescent="0.25">
      <c r="A21" s="1" t="s">
        <v>129</v>
      </c>
      <c r="B21" s="11" t="s">
        <v>41</v>
      </c>
      <c r="C21" s="12">
        <f t="shared" si="0"/>
        <v>140.5</v>
      </c>
      <c r="D21" s="12">
        <f t="shared" si="1"/>
        <v>288</v>
      </c>
      <c r="E21" s="13">
        <f t="shared" si="2"/>
        <v>0.48784722222222221</v>
      </c>
      <c r="F21" s="14">
        <f t="shared" si="6"/>
        <v>16.5</v>
      </c>
      <c r="H21">
        <v>7</v>
      </c>
      <c r="I21">
        <v>8</v>
      </c>
      <c r="J21">
        <v>10</v>
      </c>
      <c r="K21">
        <v>10</v>
      </c>
      <c r="L21">
        <v>13</v>
      </c>
      <c r="M21">
        <v>11.5</v>
      </c>
      <c r="N21">
        <v>9.5</v>
      </c>
      <c r="O21">
        <v>12</v>
      </c>
      <c r="P21">
        <v>10</v>
      </c>
      <c r="Q21">
        <v>10</v>
      </c>
      <c r="R21">
        <v>6.5</v>
      </c>
      <c r="S21">
        <v>8</v>
      </c>
      <c r="T21">
        <v>14</v>
      </c>
      <c r="U21">
        <v>5</v>
      </c>
      <c r="V21">
        <v>6</v>
      </c>
      <c r="W21" s="4">
        <f t="shared" si="4"/>
        <v>140.5</v>
      </c>
      <c r="Y21">
        <v>1</v>
      </c>
      <c r="Z21">
        <v>0</v>
      </c>
      <c r="AA21">
        <v>1</v>
      </c>
      <c r="AB21">
        <v>0</v>
      </c>
      <c r="AC21">
        <v>2</v>
      </c>
      <c r="AD21">
        <v>0.5</v>
      </c>
      <c r="AE21">
        <v>2</v>
      </c>
      <c r="AF21">
        <v>2</v>
      </c>
      <c r="AG21">
        <v>1</v>
      </c>
      <c r="AH21">
        <v>2</v>
      </c>
      <c r="AI21">
        <v>1</v>
      </c>
      <c r="AJ21">
        <v>0</v>
      </c>
      <c r="AK21">
        <v>2</v>
      </c>
      <c r="AL21">
        <v>1</v>
      </c>
      <c r="AM21">
        <v>1</v>
      </c>
      <c r="AN21" s="4">
        <f t="shared" si="5"/>
        <v>16.5</v>
      </c>
    </row>
    <row r="22" spans="1:40" x14ac:dyDescent="0.25">
      <c r="A22" s="1" t="s">
        <v>130</v>
      </c>
      <c r="B22" s="11" t="s">
        <v>49</v>
      </c>
      <c r="C22" s="12">
        <f t="shared" si="0"/>
        <v>140.5</v>
      </c>
      <c r="D22" s="12">
        <f t="shared" si="1"/>
        <v>288</v>
      </c>
      <c r="E22" s="13">
        <f t="shared" si="2"/>
        <v>0.48784722222222221</v>
      </c>
      <c r="F22" s="14">
        <f t="shared" si="6"/>
        <v>12.5</v>
      </c>
      <c r="H22">
        <v>8</v>
      </c>
      <c r="I22">
        <v>11</v>
      </c>
      <c r="J22">
        <v>9</v>
      </c>
      <c r="K22">
        <v>5</v>
      </c>
      <c r="L22">
        <v>12</v>
      </c>
      <c r="M22">
        <v>12.5</v>
      </c>
      <c r="N22">
        <v>7.5</v>
      </c>
      <c r="O22">
        <v>10</v>
      </c>
      <c r="P22">
        <v>12</v>
      </c>
      <c r="Q22">
        <v>8</v>
      </c>
      <c r="R22">
        <v>10.5</v>
      </c>
      <c r="S22">
        <v>11</v>
      </c>
      <c r="T22">
        <v>9</v>
      </c>
      <c r="U22">
        <v>6</v>
      </c>
      <c r="V22">
        <v>9</v>
      </c>
      <c r="W22" s="4">
        <f t="shared" si="4"/>
        <v>140.5</v>
      </c>
      <c r="Y22">
        <v>0</v>
      </c>
      <c r="Z22">
        <v>0</v>
      </c>
      <c r="AA22">
        <v>0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0</v>
      </c>
      <c r="AI22">
        <v>1.5</v>
      </c>
      <c r="AJ22">
        <v>1</v>
      </c>
      <c r="AK22">
        <v>0</v>
      </c>
      <c r="AL22">
        <v>2</v>
      </c>
      <c r="AM22">
        <v>2</v>
      </c>
      <c r="AN22" s="4">
        <f t="shared" si="5"/>
        <v>12.5</v>
      </c>
    </row>
    <row r="23" spans="1:40" x14ac:dyDescent="0.25">
      <c r="A23" s="1" t="s">
        <v>131</v>
      </c>
      <c r="B23" s="11" t="s">
        <v>56</v>
      </c>
      <c r="C23" s="12">
        <f t="shared" si="0"/>
        <v>139.5</v>
      </c>
      <c r="D23" s="12">
        <f t="shared" si="1"/>
        <v>288</v>
      </c>
      <c r="E23" s="13">
        <f t="shared" si="2"/>
        <v>0.484375</v>
      </c>
      <c r="F23" s="14">
        <f t="shared" si="6"/>
        <v>11</v>
      </c>
      <c r="H23">
        <v>7</v>
      </c>
      <c r="I23">
        <v>8</v>
      </c>
      <c r="J23">
        <v>9</v>
      </c>
      <c r="K23">
        <v>11</v>
      </c>
      <c r="L23">
        <v>7</v>
      </c>
      <c r="M23">
        <v>13.5</v>
      </c>
      <c r="N23">
        <v>11.5</v>
      </c>
      <c r="O23">
        <v>9</v>
      </c>
      <c r="P23">
        <v>11</v>
      </c>
      <c r="Q23">
        <v>8</v>
      </c>
      <c r="R23">
        <v>5.5</v>
      </c>
      <c r="S23">
        <v>9</v>
      </c>
      <c r="T23">
        <v>13</v>
      </c>
      <c r="U23">
        <v>7</v>
      </c>
      <c r="V23">
        <v>10</v>
      </c>
      <c r="W23" s="4">
        <f t="shared" si="4"/>
        <v>139.5</v>
      </c>
      <c r="Y23">
        <v>1</v>
      </c>
      <c r="Z23">
        <v>0</v>
      </c>
      <c r="AA23">
        <v>1</v>
      </c>
      <c r="AB23">
        <v>0</v>
      </c>
      <c r="AC23">
        <v>0</v>
      </c>
      <c r="AD23">
        <v>1</v>
      </c>
      <c r="AE23">
        <v>0</v>
      </c>
      <c r="AF23">
        <v>1</v>
      </c>
      <c r="AG23">
        <v>1</v>
      </c>
      <c r="AH23">
        <v>1</v>
      </c>
      <c r="AI23">
        <v>0</v>
      </c>
      <c r="AJ23">
        <v>1</v>
      </c>
      <c r="AK23">
        <v>1</v>
      </c>
      <c r="AL23">
        <v>2</v>
      </c>
      <c r="AM23">
        <v>1</v>
      </c>
      <c r="AN23" s="4">
        <f t="shared" si="5"/>
        <v>11</v>
      </c>
    </row>
    <row r="24" spans="1:40" x14ac:dyDescent="0.25">
      <c r="A24" s="1" t="s">
        <v>132</v>
      </c>
      <c r="B24" s="11" t="s">
        <v>50</v>
      </c>
      <c r="C24" s="12">
        <f t="shared" si="0"/>
        <v>138.5</v>
      </c>
      <c r="D24" s="12">
        <f t="shared" si="1"/>
        <v>288</v>
      </c>
      <c r="E24" s="13">
        <f t="shared" si="2"/>
        <v>0.48090277777777779</v>
      </c>
      <c r="F24" s="14">
        <f t="shared" si="6"/>
        <v>13.5</v>
      </c>
      <c r="H24">
        <v>8</v>
      </c>
      <c r="I24">
        <v>10</v>
      </c>
      <c r="J24">
        <v>7</v>
      </c>
      <c r="K24">
        <v>7</v>
      </c>
      <c r="L24">
        <v>12</v>
      </c>
      <c r="M24">
        <v>13.5</v>
      </c>
      <c r="N24">
        <v>7.5</v>
      </c>
      <c r="O24">
        <v>14</v>
      </c>
      <c r="P24">
        <v>9</v>
      </c>
      <c r="Q24">
        <v>8</v>
      </c>
      <c r="R24">
        <v>10.5</v>
      </c>
      <c r="S24">
        <v>9</v>
      </c>
      <c r="T24">
        <v>11</v>
      </c>
      <c r="U24">
        <v>4</v>
      </c>
      <c r="V24">
        <v>8</v>
      </c>
      <c r="W24" s="4">
        <f t="shared" si="4"/>
        <v>138.5</v>
      </c>
      <c r="Y24">
        <v>1</v>
      </c>
      <c r="Z24">
        <v>0</v>
      </c>
      <c r="AA24">
        <v>0</v>
      </c>
      <c r="AB24">
        <v>0</v>
      </c>
      <c r="AC24">
        <v>2</v>
      </c>
      <c r="AD24">
        <v>0</v>
      </c>
      <c r="AE24">
        <v>1</v>
      </c>
      <c r="AF24">
        <v>1</v>
      </c>
      <c r="AG24">
        <v>1</v>
      </c>
      <c r="AH24">
        <v>1</v>
      </c>
      <c r="AI24">
        <v>1.5</v>
      </c>
      <c r="AJ24">
        <v>1</v>
      </c>
      <c r="AK24">
        <v>1</v>
      </c>
      <c r="AL24">
        <v>0</v>
      </c>
      <c r="AM24">
        <v>3</v>
      </c>
      <c r="AN24" s="4">
        <f t="shared" si="5"/>
        <v>13.5</v>
      </c>
    </row>
    <row r="25" spans="1:40" x14ac:dyDescent="0.25">
      <c r="A25" s="1" t="s">
        <v>133</v>
      </c>
      <c r="B25" s="11" t="s">
        <v>46</v>
      </c>
      <c r="C25" s="12">
        <f t="shared" si="0"/>
        <v>135.5</v>
      </c>
      <c r="D25" s="12">
        <f t="shared" si="1"/>
        <v>288</v>
      </c>
      <c r="E25" s="13">
        <f t="shared" si="2"/>
        <v>0.4704861111111111</v>
      </c>
      <c r="F25" s="14">
        <f t="shared" si="6"/>
        <v>15.5</v>
      </c>
      <c r="H25">
        <v>9</v>
      </c>
      <c r="I25">
        <v>8</v>
      </c>
      <c r="J25">
        <v>9</v>
      </c>
      <c r="K25">
        <v>11</v>
      </c>
      <c r="L25">
        <v>10</v>
      </c>
      <c r="M25">
        <v>10.5</v>
      </c>
      <c r="N25">
        <v>5.5</v>
      </c>
      <c r="O25">
        <v>11</v>
      </c>
      <c r="P25">
        <v>10</v>
      </c>
      <c r="Q25">
        <v>9</v>
      </c>
      <c r="R25">
        <v>8.5</v>
      </c>
      <c r="S25">
        <v>11</v>
      </c>
      <c r="T25">
        <v>11</v>
      </c>
      <c r="U25">
        <v>5</v>
      </c>
      <c r="V25">
        <v>7</v>
      </c>
      <c r="W25" s="4">
        <f t="shared" si="4"/>
        <v>135.5</v>
      </c>
      <c r="Y25">
        <v>0</v>
      </c>
      <c r="Z25">
        <v>1</v>
      </c>
      <c r="AA25">
        <v>2</v>
      </c>
      <c r="AB25">
        <v>0</v>
      </c>
      <c r="AC25">
        <v>1</v>
      </c>
      <c r="AD25">
        <v>1.5</v>
      </c>
      <c r="AE25">
        <v>0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2</v>
      </c>
      <c r="AL25">
        <v>1</v>
      </c>
      <c r="AM25">
        <v>2</v>
      </c>
      <c r="AN25" s="4">
        <f t="shared" si="5"/>
        <v>15.5</v>
      </c>
    </row>
    <row r="26" spans="1:40" x14ac:dyDescent="0.25">
      <c r="A26" s="1" t="s">
        <v>134</v>
      </c>
      <c r="B26" s="11" t="s">
        <v>61</v>
      </c>
      <c r="C26" s="12">
        <f t="shared" si="0"/>
        <v>134.5</v>
      </c>
      <c r="D26" s="12">
        <f t="shared" si="1"/>
        <v>288</v>
      </c>
      <c r="E26" s="13">
        <f t="shared" si="2"/>
        <v>0.4670138888888889</v>
      </c>
      <c r="F26" s="14">
        <f t="shared" si="6"/>
        <v>17</v>
      </c>
      <c r="H26">
        <v>7</v>
      </c>
      <c r="I26">
        <v>7</v>
      </c>
      <c r="J26">
        <v>7</v>
      </c>
      <c r="K26">
        <v>7</v>
      </c>
      <c r="L26">
        <v>9</v>
      </c>
      <c r="M26">
        <v>14.5</v>
      </c>
      <c r="N26">
        <v>8.5</v>
      </c>
      <c r="O26">
        <v>11</v>
      </c>
      <c r="P26">
        <v>9</v>
      </c>
      <c r="Q26">
        <v>9</v>
      </c>
      <c r="R26">
        <v>8.5</v>
      </c>
      <c r="S26">
        <v>11</v>
      </c>
      <c r="T26">
        <v>11</v>
      </c>
      <c r="U26">
        <v>6</v>
      </c>
      <c r="V26">
        <v>9</v>
      </c>
      <c r="W26" s="4">
        <f t="shared" si="4"/>
        <v>134.5</v>
      </c>
      <c r="Y26">
        <v>0</v>
      </c>
      <c r="Z26">
        <v>1</v>
      </c>
      <c r="AA26">
        <v>1</v>
      </c>
      <c r="AB26">
        <v>1</v>
      </c>
      <c r="AC26">
        <v>2</v>
      </c>
      <c r="AD26">
        <v>1</v>
      </c>
      <c r="AE26">
        <v>1</v>
      </c>
      <c r="AF26">
        <v>2</v>
      </c>
      <c r="AG26">
        <v>0</v>
      </c>
      <c r="AH26">
        <v>1</v>
      </c>
      <c r="AI26">
        <v>1</v>
      </c>
      <c r="AJ26">
        <v>1</v>
      </c>
      <c r="AK26">
        <v>1</v>
      </c>
      <c r="AL26">
        <v>2</v>
      </c>
      <c r="AM26">
        <v>2</v>
      </c>
      <c r="AN26" s="4">
        <f t="shared" si="5"/>
        <v>17</v>
      </c>
    </row>
    <row r="27" spans="1:40" x14ac:dyDescent="0.25">
      <c r="A27" s="1" t="s">
        <v>135</v>
      </c>
      <c r="B27" s="11" t="s">
        <v>60</v>
      </c>
      <c r="C27" s="12">
        <f t="shared" si="0"/>
        <v>130.5</v>
      </c>
      <c r="D27" s="12">
        <f t="shared" si="1"/>
        <v>288</v>
      </c>
      <c r="E27" s="13">
        <f t="shared" si="2"/>
        <v>0.453125</v>
      </c>
      <c r="F27" s="14">
        <f t="shared" si="6"/>
        <v>11</v>
      </c>
      <c r="H27">
        <v>7</v>
      </c>
      <c r="I27">
        <v>6</v>
      </c>
      <c r="J27">
        <v>12</v>
      </c>
      <c r="K27">
        <v>10</v>
      </c>
      <c r="L27">
        <v>8</v>
      </c>
      <c r="M27">
        <v>9.5</v>
      </c>
      <c r="N27">
        <v>8.5</v>
      </c>
      <c r="O27">
        <v>12</v>
      </c>
      <c r="P27">
        <v>9</v>
      </c>
      <c r="Q27">
        <v>9</v>
      </c>
      <c r="R27">
        <v>10.5</v>
      </c>
      <c r="S27">
        <v>9</v>
      </c>
      <c r="T27">
        <v>13</v>
      </c>
      <c r="U27">
        <v>2</v>
      </c>
      <c r="V27">
        <v>5</v>
      </c>
      <c r="W27" s="4">
        <f t="shared" si="4"/>
        <v>130.5</v>
      </c>
      <c r="Y27">
        <v>1</v>
      </c>
      <c r="Z27">
        <v>0</v>
      </c>
      <c r="AA27">
        <v>2</v>
      </c>
      <c r="AB27">
        <v>0</v>
      </c>
      <c r="AC27">
        <v>0</v>
      </c>
      <c r="AD27">
        <v>1</v>
      </c>
      <c r="AE27">
        <v>0</v>
      </c>
      <c r="AF27">
        <v>1</v>
      </c>
      <c r="AG27">
        <v>1</v>
      </c>
      <c r="AH27">
        <v>2</v>
      </c>
      <c r="AI27">
        <v>1</v>
      </c>
      <c r="AJ27">
        <v>0</v>
      </c>
      <c r="AK27">
        <v>0</v>
      </c>
      <c r="AL27">
        <v>0</v>
      </c>
      <c r="AM27">
        <v>2</v>
      </c>
      <c r="AN27" s="4">
        <f t="shared" si="5"/>
        <v>11</v>
      </c>
    </row>
    <row r="28" spans="1:40" x14ac:dyDescent="0.25">
      <c r="A28" s="1" t="s">
        <v>136</v>
      </c>
      <c r="B28" s="11" t="s">
        <v>62</v>
      </c>
      <c r="C28" s="12">
        <f t="shared" si="0"/>
        <v>125.5</v>
      </c>
      <c r="D28" s="12">
        <f t="shared" si="1"/>
        <v>288</v>
      </c>
      <c r="E28" s="13">
        <f t="shared" si="2"/>
        <v>0.4357638888888889</v>
      </c>
      <c r="F28" s="14">
        <f t="shared" si="6"/>
        <v>12.5</v>
      </c>
      <c r="H28">
        <v>5</v>
      </c>
      <c r="I28">
        <v>6</v>
      </c>
      <c r="J28">
        <v>10</v>
      </c>
      <c r="K28">
        <v>9</v>
      </c>
      <c r="L28">
        <v>11</v>
      </c>
      <c r="M28">
        <v>10.5</v>
      </c>
      <c r="N28">
        <v>10.5</v>
      </c>
      <c r="O28">
        <v>10</v>
      </c>
      <c r="P28">
        <v>6</v>
      </c>
      <c r="Q28">
        <v>9</v>
      </c>
      <c r="R28">
        <v>6.5</v>
      </c>
      <c r="S28">
        <v>11</v>
      </c>
      <c r="T28">
        <v>12</v>
      </c>
      <c r="U28">
        <v>4</v>
      </c>
      <c r="V28">
        <v>5</v>
      </c>
      <c r="W28" s="4">
        <f t="shared" si="4"/>
        <v>125.5</v>
      </c>
      <c r="Y28">
        <v>0</v>
      </c>
      <c r="Z28">
        <v>0</v>
      </c>
      <c r="AA28">
        <v>1</v>
      </c>
      <c r="AB28">
        <v>0</v>
      </c>
      <c r="AC28">
        <v>2</v>
      </c>
      <c r="AD28">
        <v>0.5</v>
      </c>
      <c r="AE28">
        <v>0</v>
      </c>
      <c r="AF28">
        <v>2</v>
      </c>
      <c r="AG28">
        <v>2</v>
      </c>
      <c r="AH28">
        <v>0</v>
      </c>
      <c r="AI28">
        <v>2</v>
      </c>
      <c r="AJ28">
        <v>0</v>
      </c>
      <c r="AK28">
        <v>1</v>
      </c>
      <c r="AL28">
        <v>2</v>
      </c>
      <c r="AM28">
        <v>0</v>
      </c>
      <c r="AN28" s="4">
        <f t="shared" si="5"/>
        <v>12.5</v>
      </c>
    </row>
    <row r="29" spans="1:40" x14ac:dyDescent="0.25">
      <c r="A29" s="1" t="s">
        <v>364</v>
      </c>
      <c r="B29" s="11" t="s">
        <v>251</v>
      </c>
      <c r="C29" s="12">
        <f t="shared" si="0"/>
        <v>121.5</v>
      </c>
      <c r="D29" s="12">
        <f>$W$33-$H$33-$I$33-$J$33-$K$33</f>
        <v>208</v>
      </c>
      <c r="E29" s="13">
        <f t="shared" si="2"/>
        <v>0.58413461538461542</v>
      </c>
      <c r="F29" s="14">
        <f t="shared" si="6"/>
        <v>12</v>
      </c>
      <c r="H29" s="15" t="s">
        <v>63</v>
      </c>
      <c r="I29" s="15" t="s">
        <v>63</v>
      </c>
      <c r="J29" s="15" t="s">
        <v>63</v>
      </c>
      <c r="K29" s="15" t="s">
        <v>63</v>
      </c>
      <c r="L29">
        <v>15</v>
      </c>
      <c r="M29">
        <v>11.5</v>
      </c>
      <c r="N29">
        <v>7.5</v>
      </c>
      <c r="O29">
        <v>11</v>
      </c>
      <c r="P29">
        <v>14</v>
      </c>
      <c r="Q29">
        <v>8</v>
      </c>
      <c r="R29">
        <v>14.5</v>
      </c>
      <c r="S29">
        <v>11</v>
      </c>
      <c r="T29">
        <v>15</v>
      </c>
      <c r="U29">
        <v>4</v>
      </c>
      <c r="V29">
        <v>10</v>
      </c>
      <c r="W29" s="4">
        <f t="shared" si="4"/>
        <v>121.5</v>
      </c>
      <c r="Y29" s="15" t="s">
        <v>63</v>
      </c>
      <c r="Z29" s="15" t="s">
        <v>63</v>
      </c>
      <c r="AA29" s="15" t="s">
        <v>63</v>
      </c>
      <c r="AB29" s="15" t="s">
        <v>63</v>
      </c>
      <c r="AC29">
        <v>1</v>
      </c>
      <c r="AD29">
        <v>2</v>
      </c>
      <c r="AE29">
        <v>1</v>
      </c>
      <c r="AF29">
        <v>0</v>
      </c>
      <c r="AG29">
        <v>1</v>
      </c>
      <c r="AH29">
        <v>2</v>
      </c>
      <c r="AI29">
        <v>1</v>
      </c>
      <c r="AJ29">
        <v>0</v>
      </c>
      <c r="AK29">
        <v>1</v>
      </c>
      <c r="AL29">
        <v>0</v>
      </c>
      <c r="AM29">
        <v>3</v>
      </c>
      <c r="AN29" s="4">
        <f t="shared" si="5"/>
        <v>12</v>
      </c>
    </row>
    <row r="30" spans="1:40" x14ac:dyDescent="0.25">
      <c r="A30" s="1" t="s">
        <v>365</v>
      </c>
      <c r="B30" s="11" t="s">
        <v>58</v>
      </c>
      <c r="C30" s="12">
        <f t="shared" si="0"/>
        <v>89.5</v>
      </c>
      <c r="D30" s="12">
        <f>$W$33-$S$33-$T$33-$U$33-$V$33</f>
        <v>219</v>
      </c>
      <c r="E30" s="13">
        <f t="shared" si="2"/>
        <v>0.408675799086758</v>
      </c>
      <c r="F30" s="14">
        <f t="shared" si="6"/>
        <v>7</v>
      </c>
      <c r="H30">
        <v>8</v>
      </c>
      <c r="I30">
        <v>8</v>
      </c>
      <c r="J30">
        <v>12</v>
      </c>
      <c r="K30">
        <v>9</v>
      </c>
      <c r="L30">
        <v>6</v>
      </c>
      <c r="M30">
        <v>10.5</v>
      </c>
      <c r="N30">
        <v>11.5</v>
      </c>
      <c r="O30">
        <v>7</v>
      </c>
      <c r="P30">
        <v>5</v>
      </c>
      <c r="Q30">
        <v>7</v>
      </c>
      <c r="R30">
        <v>5.5</v>
      </c>
      <c r="S30" s="15" t="s">
        <v>63</v>
      </c>
      <c r="T30" s="15" t="s">
        <v>63</v>
      </c>
      <c r="U30" s="15" t="s">
        <v>63</v>
      </c>
      <c r="V30" s="15" t="s">
        <v>63</v>
      </c>
      <c r="W30" s="4">
        <f t="shared" si="4"/>
        <v>89.5</v>
      </c>
      <c r="Y30">
        <v>1</v>
      </c>
      <c r="Z30">
        <v>1</v>
      </c>
      <c r="AA30">
        <v>2</v>
      </c>
      <c r="AB30">
        <v>1</v>
      </c>
      <c r="AC30">
        <v>0</v>
      </c>
      <c r="AD30">
        <v>1</v>
      </c>
      <c r="AE30">
        <v>1</v>
      </c>
      <c r="AF30">
        <v>0</v>
      </c>
      <c r="AG30">
        <v>0</v>
      </c>
      <c r="AH30">
        <v>0</v>
      </c>
      <c r="AI30">
        <v>0</v>
      </c>
      <c r="AJ30" s="15" t="s">
        <v>63</v>
      </c>
      <c r="AK30" s="15" t="s">
        <v>63</v>
      </c>
      <c r="AL30" s="15" t="s">
        <v>63</v>
      </c>
      <c r="AM30" s="15" t="s">
        <v>63</v>
      </c>
      <c r="AN30" s="4">
        <f t="shared" si="5"/>
        <v>7</v>
      </c>
    </row>
    <row r="31" spans="1:40" x14ac:dyDescent="0.25">
      <c r="B31" s="16"/>
      <c r="C31" s="17"/>
      <c r="D31" s="17"/>
      <c r="E31" s="18"/>
      <c r="F31" s="19"/>
    </row>
    <row r="32" spans="1:40" ht="15.75" thickBot="1" x14ac:dyDescent="0.3">
      <c r="B32" s="20" t="s">
        <v>106</v>
      </c>
      <c r="C32" s="21">
        <f>W32</f>
        <v>148</v>
      </c>
      <c r="D32" s="21">
        <f>$W$33</f>
        <v>288</v>
      </c>
      <c r="E32" s="22">
        <f>C32/D32</f>
        <v>0.51388888888888884</v>
      </c>
      <c r="F32" s="23">
        <f>AN32</f>
        <v>17.5</v>
      </c>
      <c r="H32">
        <v>8</v>
      </c>
      <c r="I32">
        <v>8</v>
      </c>
      <c r="J32">
        <v>10</v>
      </c>
      <c r="K32">
        <v>9</v>
      </c>
      <c r="L32">
        <v>10</v>
      </c>
      <c r="M32">
        <v>13.5</v>
      </c>
      <c r="N32">
        <v>11.5</v>
      </c>
      <c r="O32">
        <v>11</v>
      </c>
      <c r="P32">
        <v>9</v>
      </c>
      <c r="Q32">
        <v>8</v>
      </c>
      <c r="R32">
        <v>11</v>
      </c>
      <c r="S32">
        <v>10</v>
      </c>
      <c r="T32">
        <v>15</v>
      </c>
      <c r="U32">
        <v>5</v>
      </c>
      <c r="V32">
        <v>9</v>
      </c>
      <c r="W32" s="4">
        <f>SUM(H32:V32)</f>
        <v>148</v>
      </c>
      <c r="Y32">
        <v>1</v>
      </c>
      <c r="Z32">
        <v>0</v>
      </c>
      <c r="AA32">
        <v>1</v>
      </c>
      <c r="AB32">
        <v>1</v>
      </c>
      <c r="AC32">
        <v>2</v>
      </c>
      <c r="AD32">
        <v>0.5</v>
      </c>
      <c r="AE32">
        <v>1</v>
      </c>
      <c r="AF32">
        <v>2</v>
      </c>
      <c r="AG32">
        <v>1</v>
      </c>
      <c r="AH32">
        <v>0</v>
      </c>
      <c r="AI32">
        <v>2</v>
      </c>
      <c r="AJ32">
        <v>1</v>
      </c>
      <c r="AK32" s="93">
        <v>2</v>
      </c>
      <c r="AL32">
        <v>1</v>
      </c>
      <c r="AM32">
        <v>2</v>
      </c>
      <c r="AN32" s="4">
        <f>SUM(Y32:AM32)</f>
        <v>17.5</v>
      </c>
    </row>
    <row r="33" spans="1:23" x14ac:dyDescent="0.25">
      <c r="B33" s="35"/>
      <c r="C33" s="3"/>
      <c r="D33" s="3"/>
      <c r="E33" s="3"/>
      <c r="F33" s="3"/>
      <c r="H33">
        <v>20</v>
      </c>
      <c r="I33">
        <v>20</v>
      </c>
      <c r="J33">
        <v>20</v>
      </c>
      <c r="K33">
        <v>20</v>
      </c>
      <c r="L33">
        <v>20</v>
      </c>
      <c r="M33">
        <v>20</v>
      </c>
      <c r="N33">
        <v>20</v>
      </c>
      <c r="O33">
        <v>20</v>
      </c>
      <c r="P33">
        <v>20</v>
      </c>
      <c r="Q33">
        <v>20</v>
      </c>
      <c r="R33">
        <v>19</v>
      </c>
      <c r="S33">
        <v>21</v>
      </c>
      <c r="T33">
        <v>20</v>
      </c>
      <c r="U33">
        <v>10</v>
      </c>
      <c r="V33">
        <v>18</v>
      </c>
      <c r="W33" s="24">
        <f>SUM(H33:V33)</f>
        <v>288</v>
      </c>
    </row>
    <row r="34" spans="1:23" ht="19.5" thickBot="1" x14ac:dyDescent="0.35">
      <c r="B34" s="2" t="s">
        <v>177</v>
      </c>
      <c r="C34" s="3"/>
      <c r="D34" s="3"/>
      <c r="E34" s="3"/>
      <c r="F34" s="3"/>
    </row>
    <row r="35" spans="1:23" ht="15.75" thickBot="1" x14ac:dyDescent="0.3">
      <c r="A35" s="1">
        <v>1</v>
      </c>
      <c r="B35" s="84" t="s">
        <v>251</v>
      </c>
      <c r="C35" s="85">
        <f>E29</f>
        <v>0.58413461538461542</v>
      </c>
      <c r="D35" s="86">
        <f>C29</f>
        <v>121.5</v>
      </c>
      <c r="E35" s="86">
        <f>D29</f>
        <v>208</v>
      </c>
      <c r="F35" s="87">
        <f>F29</f>
        <v>12</v>
      </c>
    </row>
    <row r="36" spans="1:23" x14ac:dyDescent="0.25">
      <c r="B36" s="35"/>
      <c r="C36" s="3"/>
      <c r="D36" s="3"/>
      <c r="E36" s="3"/>
      <c r="F36" s="3"/>
    </row>
    <row r="37" spans="1:23" x14ac:dyDescent="0.25">
      <c r="B37" s="25" t="s">
        <v>64</v>
      </c>
      <c r="C37" s="12">
        <f>$W$37</f>
        <v>143.5</v>
      </c>
      <c r="D37" s="12">
        <f>$W$33</f>
        <v>288</v>
      </c>
      <c r="E37" s="13">
        <f>C37/D37</f>
        <v>0.4982638888888889</v>
      </c>
      <c r="F37" s="12"/>
      <c r="H37">
        <v>8</v>
      </c>
      <c r="I37">
        <v>6</v>
      </c>
      <c r="J37">
        <v>9</v>
      </c>
      <c r="K37">
        <v>9</v>
      </c>
      <c r="L37">
        <v>10</v>
      </c>
      <c r="M37">
        <v>14.5</v>
      </c>
      <c r="N37">
        <v>9.5</v>
      </c>
      <c r="O37">
        <v>10</v>
      </c>
      <c r="P37">
        <v>11</v>
      </c>
      <c r="Q37">
        <v>10</v>
      </c>
      <c r="R37">
        <v>10.5</v>
      </c>
      <c r="S37">
        <v>12</v>
      </c>
      <c r="T37">
        <v>11</v>
      </c>
      <c r="U37">
        <v>5</v>
      </c>
      <c r="V37">
        <v>8</v>
      </c>
      <c r="W37" s="4">
        <f>SUM(H37:V37)</f>
        <v>143.5</v>
      </c>
    </row>
  </sheetData>
  <sortState xmlns:xlrd2="http://schemas.microsoft.com/office/spreadsheetml/2017/richdata2" ref="B3:AP31">
    <sortCondition ref="B3:B31"/>
  </sortState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P30"/>
  <sheetViews>
    <sheetView workbookViewId="0">
      <selection activeCell="H1" sqref="H1"/>
    </sheetView>
  </sheetViews>
  <sheetFormatPr defaultColWidth="8.85546875" defaultRowHeight="15" x14ac:dyDescent="0.25"/>
  <cols>
    <col min="1" max="1" width="5.28515625" bestFit="1" customWidth="1"/>
    <col min="2" max="2" width="19.710937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16" width="3.42578125" bestFit="1" customWidth="1"/>
    <col min="17" max="22" width="4.42578125" bestFit="1" customWidth="1"/>
    <col min="23" max="23" width="6.28515625" bestFit="1" customWidth="1"/>
    <col min="24" max="24" width="5.42578125" bestFit="1" customWidth="1"/>
    <col min="25" max="25" width="2.7109375" customWidth="1"/>
    <col min="26" max="34" width="3" bestFit="1" customWidth="1"/>
    <col min="35" max="40" width="4" bestFit="1" customWidth="1"/>
    <col min="41" max="41" width="6.28515625" bestFit="1" customWidth="1"/>
    <col min="42" max="42" width="5.42578125" bestFit="1" customWidth="1"/>
  </cols>
  <sheetData>
    <row r="1" spans="1:42" ht="19.5" thickBot="1" x14ac:dyDescent="0.35">
      <c r="A1" s="1"/>
      <c r="B1" s="2" t="s">
        <v>84</v>
      </c>
      <c r="C1" s="3"/>
      <c r="D1" s="3"/>
      <c r="E1" s="3"/>
      <c r="F1" s="3"/>
      <c r="X1" s="4"/>
      <c r="AP1" s="4"/>
    </row>
    <row r="2" spans="1:42" x14ac:dyDescent="0.25">
      <c r="A2" s="5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G2" s="9"/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20</v>
      </c>
      <c r="X2" s="10" t="s">
        <v>2</v>
      </c>
      <c r="Y2" s="9"/>
      <c r="Z2" s="9" t="s">
        <v>21</v>
      </c>
      <c r="AA2" s="9" t="s">
        <v>22</v>
      </c>
      <c r="AB2" s="9" t="s">
        <v>23</v>
      </c>
      <c r="AC2" s="9" t="s">
        <v>24</v>
      </c>
      <c r="AD2" s="9" t="s">
        <v>25</v>
      </c>
      <c r="AE2" s="9" t="s">
        <v>26</v>
      </c>
      <c r="AF2" s="9" t="s">
        <v>27</v>
      </c>
      <c r="AG2" s="9" t="s">
        <v>28</v>
      </c>
      <c r="AH2" s="9" t="s">
        <v>29</v>
      </c>
      <c r="AI2" s="9" t="s">
        <v>30</v>
      </c>
      <c r="AJ2" s="9" t="s">
        <v>31</v>
      </c>
      <c r="AK2" s="9" t="s">
        <v>32</v>
      </c>
      <c r="AL2" s="9" t="s">
        <v>33</v>
      </c>
      <c r="AM2" s="9" t="s">
        <v>34</v>
      </c>
      <c r="AN2" s="9" t="s">
        <v>35</v>
      </c>
      <c r="AO2" s="9" t="s">
        <v>20</v>
      </c>
      <c r="AP2" s="10" t="s">
        <v>2</v>
      </c>
    </row>
    <row r="3" spans="1:42" x14ac:dyDescent="0.25">
      <c r="A3" s="1" t="s">
        <v>111</v>
      </c>
      <c r="B3" s="11" t="s">
        <v>60</v>
      </c>
      <c r="C3" s="12">
        <f t="shared" ref="C3:C25" si="0">X3</f>
        <v>161</v>
      </c>
      <c r="D3" s="12">
        <f t="shared" ref="D3:D25" si="1">$X$28</f>
        <v>292</v>
      </c>
      <c r="E3" s="13">
        <f t="shared" ref="E3:E25" si="2">C3/D3</f>
        <v>0.55136986301369861</v>
      </c>
      <c r="F3" s="14">
        <f t="shared" ref="F3:F10" si="3">AP3</f>
        <v>18</v>
      </c>
      <c r="H3">
        <v>5</v>
      </c>
      <c r="I3">
        <v>8</v>
      </c>
      <c r="J3">
        <v>12</v>
      </c>
      <c r="K3">
        <v>8</v>
      </c>
      <c r="L3">
        <v>10</v>
      </c>
      <c r="M3">
        <v>7</v>
      </c>
      <c r="N3">
        <v>11</v>
      </c>
      <c r="O3">
        <v>7</v>
      </c>
      <c r="P3">
        <v>10</v>
      </c>
      <c r="Q3">
        <v>14</v>
      </c>
      <c r="R3">
        <v>10</v>
      </c>
      <c r="S3">
        <v>12</v>
      </c>
      <c r="T3">
        <v>17</v>
      </c>
      <c r="U3">
        <v>11</v>
      </c>
      <c r="V3">
        <v>6</v>
      </c>
      <c r="W3">
        <v>13</v>
      </c>
      <c r="X3" s="4">
        <f t="shared" ref="X3:X25" si="4">SUM(H3:W3)</f>
        <v>161</v>
      </c>
      <c r="Z3">
        <v>1</v>
      </c>
      <c r="AA3">
        <v>2</v>
      </c>
      <c r="AB3">
        <v>2</v>
      </c>
      <c r="AC3">
        <v>0</v>
      </c>
      <c r="AD3">
        <v>1</v>
      </c>
      <c r="AE3">
        <v>0</v>
      </c>
      <c r="AF3">
        <v>0</v>
      </c>
      <c r="AG3">
        <v>0</v>
      </c>
      <c r="AH3">
        <v>0</v>
      </c>
      <c r="AI3">
        <v>2</v>
      </c>
      <c r="AJ3">
        <v>1</v>
      </c>
      <c r="AK3">
        <v>0</v>
      </c>
      <c r="AL3">
        <v>2</v>
      </c>
      <c r="AM3">
        <v>0</v>
      </c>
      <c r="AN3">
        <v>0</v>
      </c>
      <c r="AO3">
        <v>7</v>
      </c>
      <c r="AP3" s="4">
        <f t="shared" ref="AP3:AP25" si="5">SUM(Z3:AO3)</f>
        <v>18</v>
      </c>
    </row>
    <row r="4" spans="1:42" x14ac:dyDescent="0.25">
      <c r="A4" s="1" t="s">
        <v>112</v>
      </c>
      <c r="B4" s="11" t="s">
        <v>62</v>
      </c>
      <c r="C4" s="12">
        <f t="shared" si="0"/>
        <v>159</v>
      </c>
      <c r="D4" s="12">
        <f t="shared" si="1"/>
        <v>292</v>
      </c>
      <c r="E4" s="13">
        <f t="shared" si="2"/>
        <v>0.54452054794520544</v>
      </c>
      <c r="F4" s="14">
        <f t="shared" si="3"/>
        <v>16</v>
      </c>
      <c r="H4">
        <v>4</v>
      </c>
      <c r="I4">
        <v>7</v>
      </c>
      <c r="J4">
        <v>15</v>
      </c>
      <c r="K4">
        <v>8</v>
      </c>
      <c r="L4">
        <v>6</v>
      </c>
      <c r="M4">
        <v>7</v>
      </c>
      <c r="N4">
        <v>9</v>
      </c>
      <c r="O4">
        <v>11</v>
      </c>
      <c r="P4">
        <v>13</v>
      </c>
      <c r="Q4">
        <v>9</v>
      </c>
      <c r="R4">
        <v>11</v>
      </c>
      <c r="S4">
        <v>13</v>
      </c>
      <c r="T4">
        <v>16</v>
      </c>
      <c r="U4">
        <v>12</v>
      </c>
      <c r="V4">
        <v>6</v>
      </c>
      <c r="W4">
        <v>12</v>
      </c>
      <c r="X4" s="4">
        <f t="shared" si="4"/>
        <v>159</v>
      </c>
      <c r="Z4">
        <v>1</v>
      </c>
      <c r="AA4">
        <v>1</v>
      </c>
      <c r="AB4">
        <v>2</v>
      </c>
      <c r="AC4">
        <v>0</v>
      </c>
      <c r="AD4">
        <v>1</v>
      </c>
      <c r="AE4">
        <v>0</v>
      </c>
      <c r="AF4">
        <v>1</v>
      </c>
      <c r="AG4">
        <v>0</v>
      </c>
      <c r="AH4">
        <v>2</v>
      </c>
      <c r="AI4">
        <v>0</v>
      </c>
      <c r="AJ4">
        <v>1</v>
      </c>
      <c r="AK4">
        <v>1</v>
      </c>
      <c r="AL4">
        <v>2</v>
      </c>
      <c r="AM4">
        <v>0</v>
      </c>
      <c r="AN4">
        <v>1</v>
      </c>
      <c r="AO4">
        <v>3</v>
      </c>
      <c r="AP4" s="4">
        <f t="shared" si="5"/>
        <v>16</v>
      </c>
    </row>
    <row r="5" spans="1:42" x14ac:dyDescent="0.25">
      <c r="A5" s="1" t="s">
        <v>113</v>
      </c>
      <c r="B5" s="11" t="s">
        <v>45</v>
      </c>
      <c r="C5" s="12">
        <f t="shared" si="0"/>
        <v>158</v>
      </c>
      <c r="D5" s="12">
        <f t="shared" si="1"/>
        <v>292</v>
      </c>
      <c r="E5" s="13">
        <f t="shared" si="2"/>
        <v>0.54109589041095896</v>
      </c>
      <c r="F5" s="14">
        <f t="shared" si="3"/>
        <v>19</v>
      </c>
      <c r="H5">
        <v>4</v>
      </c>
      <c r="I5">
        <v>5</v>
      </c>
      <c r="J5">
        <v>16</v>
      </c>
      <c r="K5">
        <v>11</v>
      </c>
      <c r="L5">
        <v>8</v>
      </c>
      <c r="M5">
        <v>6</v>
      </c>
      <c r="N5">
        <v>14</v>
      </c>
      <c r="O5">
        <v>10</v>
      </c>
      <c r="P5">
        <v>10</v>
      </c>
      <c r="Q5">
        <v>11</v>
      </c>
      <c r="R5">
        <v>12</v>
      </c>
      <c r="S5">
        <v>11</v>
      </c>
      <c r="T5">
        <v>14</v>
      </c>
      <c r="U5">
        <v>12</v>
      </c>
      <c r="V5">
        <v>3</v>
      </c>
      <c r="W5">
        <v>11</v>
      </c>
      <c r="X5" s="4">
        <f t="shared" si="4"/>
        <v>158</v>
      </c>
      <c r="Z5">
        <v>0</v>
      </c>
      <c r="AA5">
        <v>0</v>
      </c>
      <c r="AB5">
        <v>2</v>
      </c>
      <c r="AC5">
        <v>1</v>
      </c>
      <c r="AD5">
        <v>0</v>
      </c>
      <c r="AE5">
        <v>1</v>
      </c>
      <c r="AF5">
        <v>2</v>
      </c>
      <c r="AG5">
        <v>1</v>
      </c>
      <c r="AH5">
        <v>2</v>
      </c>
      <c r="AI5">
        <v>1</v>
      </c>
      <c r="AJ5">
        <v>1</v>
      </c>
      <c r="AK5">
        <v>1</v>
      </c>
      <c r="AL5">
        <v>2</v>
      </c>
      <c r="AM5">
        <v>1</v>
      </c>
      <c r="AN5">
        <v>0</v>
      </c>
      <c r="AO5">
        <v>4</v>
      </c>
      <c r="AP5" s="4">
        <f t="shared" si="5"/>
        <v>19</v>
      </c>
    </row>
    <row r="6" spans="1:42" x14ac:dyDescent="0.25">
      <c r="A6" s="1" t="s">
        <v>114</v>
      </c>
      <c r="B6" s="11" t="s">
        <v>61</v>
      </c>
      <c r="C6" s="12">
        <f t="shared" si="0"/>
        <v>149</v>
      </c>
      <c r="D6" s="12">
        <f t="shared" si="1"/>
        <v>292</v>
      </c>
      <c r="E6" s="13">
        <f t="shared" si="2"/>
        <v>0.51027397260273977</v>
      </c>
      <c r="F6" s="14">
        <f t="shared" si="3"/>
        <v>16</v>
      </c>
      <c r="H6">
        <v>4</v>
      </c>
      <c r="I6">
        <v>7</v>
      </c>
      <c r="J6">
        <v>12</v>
      </c>
      <c r="K6">
        <v>5</v>
      </c>
      <c r="L6">
        <v>4</v>
      </c>
      <c r="M6">
        <v>6</v>
      </c>
      <c r="N6">
        <v>14</v>
      </c>
      <c r="O6">
        <v>10</v>
      </c>
      <c r="P6">
        <v>11</v>
      </c>
      <c r="Q6">
        <v>12</v>
      </c>
      <c r="R6">
        <v>7</v>
      </c>
      <c r="S6">
        <v>10</v>
      </c>
      <c r="T6">
        <v>14</v>
      </c>
      <c r="U6">
        <v>16</v>
      </c>
      <c r="V6">
        <v>9</v>
      </c>
      <c r="W6">
        <v>8</v>
      </c>
      <c r="X6" s="4">
        <f t="shared" si="4"/>
        <v>149</v>
      </c>
      <c r="Z6">
        <v>1</v>
      </c>
      <c r="AA6">
        <v>1</v>
      </c>
      <c r="AB6">
        <v>1</v>
      </c>
      <c r="AC6">
        <v>0</v>
      </c>
      <c r="AD6">
        <v>0</v>
      </c>
      <c r="AE6">
        <v>0</v>
      </c>
      <c r="AF6">
        <v>2</v>
      </c>
      <c r="AG6">
        <v>0</v>
      </c>
      <c r="AH6">
        <v>1</v>
      </c>
      <c r="AI6">
        <v>2</v>
      </c>
      <c r="AJ6">
        <v>0</v>
      </c>
      <c r="AK6">
        <v>2</v>
      </c>
      <c r="AL6">
        <v>1</v>
      </c>
      <c r="AM6">
        <v>1</v>
      </c>
      <c r="AN6">
        <v>1</v>
      </c>
      <c r="AO6">
        <v>3</v>
      </c>
      <c r="AP6" s="4">
        <f t="shared" si="5"/>
        <v>16</v>
      </c>
    </row>
    <row r="7" spans="1:42" x14ac:dyDescent="0.25">
      <c r="A7" s="1" t="s">
        <v>115</v>
      </c>
      <c r="B7" s="11" t="s">
        <v>54</v>
      </c>
      <c r="C7" s="12">
        <f t="shared" si="0"/>
        <v>148</v>
      </c>
      <c r="D7" s="12">
        <f t="shared" si="1"/>
        <v>292</v>
      </c>
      <c r="E7" s="13">
        <f t="shared" si="2"/>
        <v>0.50684931506849318</v>
      </c>
      <c r="F7" s="14">
        <f t="shared" si="3"/>
        <v>16</v>
      </c>
      <c r="H7">
        <v>4</v>
      </c>
      <c r="I7">
        <v>5</v>
      </c>
      <c r="J7">
        <v>14</v>
      </c>
      <c r="K7">
        <v>8</v>
      </c>
      <c r="L7">
        <v>8</v>
      </c>
      <c r="M7">
        <v>6</v>
      </c>
      <c r="N7">
        <v>13</v>
      </c>
      <c r="O7">
        <v>10</v>
      </c>
      <c r="P7">
        <v>7</v>
      </c>
      <c r="Q7">
        <v>12</v>
      </c>
      <c r="R7">
        <v>7</v>
      </c>
      <c r="S7">
        <v>11</v>
      </c>
      <c r="T7">
        <v>14</v>
      </c>
      <c r="U7">
        <v>12</v>
      </c>
      <c r="V7">
        <v>8</v>
      </c>
      <c r="W7">
        <v>9</v>
      </c>
      <c r="X7" s="4">
        <f t="shared" si="4"/>
        <v>148</v>
      </c>
      <c r="Z7">
        <v>0</v>
      </c>
      <c r="AA7">
        <v>0</v>
      </c>
      <c r="AB7">
        <v>2</v>
      </c>
      <c r="AC7">
        <v>1</v>
      </c>
      <c r="AD7">
        <v>1</v>
      </c>
      <c r="AE7">
        <v>0</v>
      </c>
      <c r="AF7">
        <v>1</v>
      </c>
      <c r="AG7">
        <v>0</v>
      </c>
      <c r="AH7">
        <v>0</v>
      </c>
      <c r="AI7">
        <v>1</v>
      </c>
      <c r="AJ7">
        <v>1</v>
      </c>
      <c r="AK7">
        <v>0</v>
      </c>
      <c r="AL7">
        <v>1</v>
      </c>
      <c r="AM7">
        <v>2</v>
      </c>
      <c r="AN7">
        <v>3</v>
      </c>
      <c r="AO7">
        <v>3</v>
      </c>
      <c r="AP7" s="4">
        <f t="shared" si="5"/>
        <v>16</v>
      </c>
    </row>
    <row r="8" spans="1:42" x14ac:dyDescent="0.25">
      <c r="A8" s="1" t="s">
        <v>116</v>
      </c>
      <c r="B8" s="11" t="s">
        <v>39</v>
      </c>
      <c r="C8" s="12">
        <f t="shared" si="0"/>
        <v>147</v>
      </c>
      <c r="D8" s="12">
        <f t="shared" si="1"/>
        <v>292</v>
      </c>
      <c r="E8" s="13">
        <f t="shared" si="2"/>
        <v>0.50342465753424659</v>
      </c>
      <c r="F8" s="14">
        <f t="shared" si="3"/>
        <v>17</v>
      </c>
      <c r="H8">
        <v>4</v>
      </c>
      <c r="I8">
        <v>3</v>
      </c>
      <c r="J8">
        <v>12</v>
      </c>
      <c r="K8">
        <v>13</v>
      </c>
      <c r="L8">
        <v>8</v>
      </c>
      <c r="M8">
        <v>6</v>
      </c>
      <c r="N8">
        <v>15</v>
      </c>
      <c r="O8">
        <v>8</v>
      </c>
      <c r="P8">
        <v>9</v>
      </c>
      <c r="Q8">
        <v>11</v>
      </c>
      <c r="R8">
        <v>9</v>
      </c>
      <c r="S8">
        <v>10</v>
      </c>
      <c r="T8">
        <v>10</v>
      </c>
      <c r="U8">
        <v>9</v>
      </c>
      <c r="V8">
        <v>7</v>
      </c>
      <c r="W8">
        <v>13</v>
      </c>
      <c r="X8" s="4">
        <f t="shared" si="4"/>
        <v>147</v>
      </c>
      <c r="Z8">
        <v>0</v>
      </c>
      <c r="AA8">
        <v>1</v>
      </c>
      <c r="AB8">
        <v>0</v>
      </c>
      <c r="AC8">
        <v>0</v>
      </c>
      <c r="AD8">
        <v>1</v>
      </c>
      <c r="AE8">
        <v>2</v>
      </c>
      <c r="AF8">
        <v>2</v>
      </c>
      <c r="AG8">
        <v>2</v>
      </c>
      <c r="AH8">
        <v>1</v>
      </c>
      <c r="AI8">
        <v>2</v>
      </c>
      <c r="AJ8">
        <v>1</v>
      </c>
      <c r="AK8">
        <v>2</v>
      </c>
      <c r="AL8">
        <v>2</v>
      </c>
      <c r="AM8">
        <v>0</v>
      </c>
      <c r="AN8">
        <v>0</v>
      </c>
      <c r="AO8">
        <v>1</v>
      </c>
      <c r="AP8" s="4">
        <f t="shared" si="5"/>
        <v>17</v>
      </c>
    </row>
    <row r="9" spans="1:42" x14ac:dyDescent="0.25">
      <c r="A9" s="1" t="s">
        <v>117</v>
      </c>
      <c r="B9" s="11" t="s">
        <v>55</v>
      </c>
      <c r="C9" s="12">
        <f t="shared" si="0"/>
        <v>145</v>
      </c>
      <c r="D9" s="12">
        <f t="shared" si="1"/>
        <v>292</v>
      </c>
      <c r="E9" s="13">
        <f t="shared" si="2"/>
        <v>0.49657534246575341</v>
      </c>
      <c r="F9" s="14">
        <f t="shared" si="3"/>
        <v>21</v>
      </c>
      <c r="H9">
        <v>5</v>
      </c>
      <c r="I9">
        <v>8</v>
      </c>
      <c r="J9">
        <v>13</v>
      </c>
      <c r="K9">
        <v>7</v>
      </c>
      <c r="L9">
        <v>3</v>
      </c>
      <c r="M9">
        <v>4</v>
      </c>
      <c r="N9">
        <v>11</v>
      </c>
      <c r="O9">
        <v>14</v>
      </c>
      <c r="P9">
        <v>10</v>
      </c>
      <c r="Q9">
        <v>12</v>
      </c>
      <c r="R9">
        <v>10</v>
      </c>
      <c r="S9">
        <v>13</v>
      </c>
      <c r="T9">
        <v>12</v>
      </c>
      <c r="U9">
        <v>11</v>
      </c>
      <c r="V9">
        <v>3</v>
      </c>
      <c r="W9">
        <v>9</v>
      </c>
      <c r="X9" s="4">
        <f t="shared" si="4"/>
        <v>145</v>
      </c>
      <c r="Z9">
        <v>1</v>
      </c>
      <c r="AA9">
        <v>1</v>
      </c>
      <c r="AB9">
        <v>2</v>
      </c>
      <c r="AC9">
        <v>2</v>
      </c>
      <c r="AD9">
        <v>0</v>
      </c>
      <c r="AE9">
        <v>1</v>
      </c>
      <c r="AF9">
        <v>2</v>
      </c>
      <c r="AG9">
        <v>2</v>
      </c>
      <c r="AH9">
        <v>0</v>
      </c>
      <c r="AI9">
        <v>2</v>
      </c>
      <c r="AJ9">
        <v>1</v>
      </c>
      <c r="AK9">
        <v>2</v>
      </c>
      <c r="AL9">
        <v>1</v>
      </c>
      <c r="AM9">
        <v>2</v>
      </c>
      <c r="AN9">
        <v>1</v>
      </c>
      <c r="AO9">
        <v>1</v>
      </c>
      <c r="AP9" s="4">
        <f t="shared" si="5"/>
        <v>21</v>
      </c>
    </row>
    <row r="10" spans="1:42" x14ac:dyDescent="0.25">
      <c r="A10" s="1" t="s">
        <v>118</v>
      </c>
      <c r="B10" s="11" t="s">
        <v>52</v>
      </c>
      <c r="C10" s="12">
        <f t="shared" si="0"/>
        <v>145</v>
      </c>
      <c r="D10" s="12">
        <f t="shared" si="1"/>
        <v>292</v>
      </c>
      <c r="E10" s="13">
        <f t="shared" si="2"/>
        <v>0.49657534246575341</v>
      </c>
      <c r="F10" s="14">
        <f t="shared" si="3"/>
        <v>17</v>
      </c>
      <c r="H10">
        <v>5</v>
      </c>
      <c r="I10">
        <v>5</v>
      </c>
      <c r="J10">
        <v>9</v>
      </c>
      <c r="K10">
        <v>6</v>
      </c>
      <c r="L10">
        <v>7</v>
      </c>
      <c r="M10">
        <v>6</v>
      </c>
      <c r="N10">
        <v>13</v>
      </c>
      <c r="O10">
        <v>12</v>
      </c>
      <c r="P10">
        <v>9</v>
      </c>
      <c r="Q10">
        <v>12</v>
      </c>
      <c r="R10">
        <v>8</v>
      </c>
      <c r="S10">
        <v>10</v>
      </c>
      <c r="T10">
        <v>14</v>
      </c>
      <c r="U10">
        <v>14</v>
      </c>
      <c r="V10">
        <v>6</v>
      </c>
      <c r="W10">
        <v>9</v>
      </c>
      <c r="X10" s="4">
        <f t="shared" si="4"/>
        <v>145</v>
      </c>
      <c r="Z10">
        <v>1</v>
      </c>
      <c r="AA10">
        <v>1</v>
      </c>
      <c r="AB10">
        <v>0</v>
      </c>
      <c r="AC10">
        <v>1</v>
      </c>
      <c r="AD10">
        <v>2</v>
      </c>
      <c r="AE10">
        <v>0</v>
      </c>
      <c r="AF10">
        <v>0</v>
      </c>
      <c r="AG10">
        <v>1</v>
      </c>
      <c r="AH10">
        <v>1</v>
      </c>
      <c r="AI10">
        <v>2</v>
      </c>
      <c r="AJ10">
        <v>1</v>
      </c>
      <c r="AK10">
        <v>2</v>
      </c>
      <c r="AL10">
        <v>2</v>
      </c>
      <c r="AM10">
        <v>0</v>
      </c>
      <c r="AN10">
        <v>1</v>
      </c>
      <c r="AO10">
        <v>2</v>
      </c>
      <c r="AP10" s="4">
        <f t="shared" si="5"/>
        <v>17</v>
      </c>
    </row>
    <row r="11" spans="1:42" x14ac:dyDescent="0.25">
      <c r="A11" s="1" t="s">
        <v>119</v>
      </c>
      <c r="B11" s="11" t="s">
        <v>56</v>
      </c>
      <c r="C11" s="12">
        <f t="shared" si="0"/>
        <v>144</v>
      </c>
      <c r="D11" s="12">
        <f t="shared" si="1"/>
        <v>292</v>
      </c>
      <c r="E11" s="13">
        <f t="shared" si="2"/>
        <v>0.49315068493150682</v>
      </c>
      <c r="F11" s="14" t="s">
        <v>85</v>
      </c>
      <c r="H11">
        <v>5</v>
      </c>
      <c r="I11">
        <v>4</v>
      </c>
      <c r="J11">
        <v>12</v>
      </c>
      <c r="K11">
        <v>8</v>
      </c>
      <c r="L11">
        <v>4</v>
      </c>
      <c r="M11">
        <v>5</v>
      </c>
      <c r="N11">
        <v>11</v>
      </c>
      <c r="O11">
        <v>11</v>
      </c>
      <c r="P11">
        <v>11</v>
      </c>
      <c r="Q11">
        <v>9</v>
      </c>
      <c r="R11">
        <v>8</v>
      </c>
      <c r="S11">
        <v>12</v>
      </c>
      <c r="T11">
        <v>12</v>
      </c>
      <c r="U11">
        <v>16</v>
      </c>
      <c r="V11">
        <v>6</v>
      </c>
      <c r="W11">
        <v>10</v>
      </c>
      <c r="X11" s="4">
        <f t="shared" si="4"/>
        <v>144</v>
      </c>
      <c r="Z11">
        <v>1</v>
      </c>
      <c r="AA11">
        <v>1</v>
      </c>
      <c r="AB11">
        <v>2</v>
      </c>
      <c r="AC11">
        <v>1</v>
      </c>
      <c r="AD11">
        <v>0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0</v>
      </c>
      <c r="AN11">
        <v>0</v>
      </c>
      <c r="AO11">
        <v>3</v>
      </c>
      <c r="AP11" s="4">
        <f t="shared" si="5"/>
        <v>16</v>
      </c>
    </row>
    <row r="12" spans="1:42" x14ac:dyDescent="0.25">
      <c r="A12" s="1" t="s">
        <v>120</v>
      </c>
      <c r="B12" s="11" t="s">
        <v>50</v>
      </c>
      <c r="C12" s="12">
        <f t="shared" si="0"/>
        <v>144</v>
      </c>
      <c r="D12" s="12">
        <f t="shared" si="1"/>
        <v>292</v>
      </c>
      <c r="E12" s="13">
        <f t="shared" si="2"/>
        <v>0.49315068493150682</v>
      </c>
      <c r="F12" s="14" t="s">
        <v>86</v>
      </c>
      <c r="H12">
        <v>5</v>
      </c>
      <c r="I12">
        <v>4</v>
      </c>
      <c r="J12">
        <v>11</v>
      </c>
      <c r="K12">
        <v>5</v>
      </c>
      <c r="L12">
        <v>7</v>
      </c>
      <c r="M12">
        <v>7</v>
      </c>
      <c r="N12">
        <v>15</v>
      </c>
      <c r="O12">
        <v>12</v>
      </c>
      <c r="P12">
        <v>10</v>
      </c>
      <c r="Q12">
        <v>11</v>
      </c>
      <c r="R12">
        <v>9</v>
      </c>
      <c r="S12">
        <v>9</v>
      </c>
      <c r="T12">
        <v>10</v>
      </c>
      <c r="U12">
        <v>14</v>
      </c>
      <c r="V12">
        <v>6</v>
      </c>
      <c r="W12">
        <v>9</v>
      </c>
      <c r="X12" s="4">
        <f t="shared" si="4"/>
        <v>144</v>
      </c>
      <c r="Z12">
        <v>1</v>
      </c>
      <c r="AA12">
        <v>1</v>
      </c>
      <c r="AB12">
        <v>0</v>
      </c>
      <c r="AC12">
        <v>0</v>
      </c>
      <c r="AD12">
        <v>0</v>
      </c>
      <c r="AE12">
        <v>1</v>
      </c>
      <c r="AF12">
        <v>1</v>
      </c>
      <c r="AG12">
        <v>1</v>
      </c>
      <c r="AH12">
        <v>1</v>
      </c>
      <c r="AI12">
        <v>2</v>
      </c>
      <c r="AJ12">
        <v>1</v>
      </c>
      <c r="AK12">
        <v>0</v>
      </c>
      <c r="AL12">
        <v>1</v>
      </c>
      <c r="AM12">
        <v>1</v>
      </c>
      <c r="AN12">
        <v>1</v>
      </c>
      <c r="AO12">
        <v>4</v>
      </c>
      <c r="AP12" s="4">
        <f t="shared" si="5"/>
        <v>16</v>
      </c>
    </row>
    <row r="13" spans="1:42" x14ac:dyDescent="0.25">
      <c r="A13" s="1" t="s">
        <v>121</v>
      </c>
      <c r="B13" s="11" t="s">
        <v>40</v>
      </c>
      <c r="C13" s="12">
        <f t="shared" si="0"/>
        <v>144</v>
      </c>
      <c r="D13" s="12">
        <f t="shared" si="1"/>
        <v>292</v>
      </c>
      <c r="E13" s="13">
        <f t="shared" si="2"/>
        <v>0.49315068493150682</v>
      </c>
      <c r="F13" s="14">
        <f t="shared" ref="F13:F25" si="6">AP13</f>
        <v>14</v>
      </c>
      <c r="H13">
        <v>3</v>
      </c>
      <c r="I13">
        <v>7</v>
      </c>
      <c r="J13">
        <v>7</v>
      </c>
      <c r="K13">
        <v>8</v>
      </c>
      <c r="L13">
        <v>10</v>
      </c>
      <c r="M13">
        <v>10</v>
      </c>
      <c r="N13">
        <v>13</v>
      </c>
      <c r="O13">
        <v>14</v>
      </c>
      <c r="P13">
        <v>13</v>
      </c>
      <c r="Q13">
        <v>9</v>
      </c>
      <c r="R13">
        <v>5</v>
      </c>
      <c r="S13">
        <v>13</v>
      </c>
      <c r="T13">
        <v>9</v>
      </c>
      <c r="U13">
        <v>8</v>
      </c>
      <c r="V13">
        <v>5</v>
      </c>
      <c r="W13">
        <v>10</v>
      </c>
      <c r="X13" s="4">
        <f t="shared" si="4"/>
        <v>144</v>
      </c>
      <c r="Z13">
        <v>0</v>
      </c>
      <c r="AA13">
        <v>2</v>
      </c>
      <c r="AB13">
        <v>0</v>
      </c>
      <c r="AC13">
        <v>2</v>
      </c>
      <c r="AD13">
        <v>0</v>
      </c>
      <c r="AE13">
        <v>2</v>
      </c>
      <c r="AF13">
        <v>2</v>
      </c>
      <c r="AG13">
        <v>1</v>
      </c>
      <c r="AH13">
        <v>0</v>
      </c>
      <c r="AI13">
        <v>1</v>
      </c>
      <c r="AJ13">
        <v>0</v>
      </c>
      <c r="AK13">
        <v>1</v>
      </c>
      <c r="AL13">
        <v>0</v>
      </c>
      <c r="AM13">
        <v>0</v>
      </c>
      <c r="AN13">
        <v>1</v>
      </c>
      <c r="AO13">
        <v>2</v>
      </c>
      <c r="AP13" s="4">
        <f t="shared" si="5"/>
        <v>14</v>
      </c>
    </row>
    <row r="14" spans="1:42" x14ac:dyDescent="0.25">
      <c r="A14" s="1" t="s">
        <v>122</v>
      </c>
      <c r="B14" s="11" t="s">
        <v>43</v>
      </c>
      <c r="C14" s="12">
        <f t="shared" si="0"/>
        <v>143</v>
      </c>
      <c r="D14" s="12">
        <f t="shared" si="1"/>
        <v>292</v>
      </c>
      <c r="E14" s="13">
        <f t="shared" si="2"/>
        <v>0.48972602739726029</v>
      </c>
      <c r="F14" s="14">
        <f t="shared" si="6"/>
        <v>13</v>
      </c>
      <c r="H14">
        <v>5</v>
      </c>
      <c r="I14">
        <v>5</v>
      </c>
      <c r="J14">
        <v>9</v>
      </c>
      <c r="K14">
        <v>5</v>
      </c>
      <c r="L14">
        <v>6</v>
      </c>
      <c r="M14">
        <v>5</v>
      </c>
      <c r="N14">
        <v>16</v>
      </c>
      <c r="O14">
        <v>11</v>
      </c>
      <c r="P14">
        <v>9</v>
      </c>
      <c r="Q14">
        <v>10</v>
      </c>
      <c r="R14">
        <v>7</v>
      </c>
      <c r="S14">
        <v>11</v>
      </c>
      <c r="T14">
        <v>14</v>
      </c>
      <c r="U14">
        <v>14</v>
      </c>
      <c r="V14">
        <v>8</v>
      </c>
      <c r="W14">
        <v>8</v>
      </c>
      <c r="X14" s="4">
        <f t="shared" si="4"/>
        <v>143</v>
      </c>
      <c r="Z14">
        <v>1</v>
      </c>
      <c r="AA14">
        <v>1</v>
      </c>
      <c r="AB14">
        <v>1</v>
      </c>
      <c r="AC14">
        <v>0</v>
      </c>
      <c r="AD14">
        <v>0</v>
      </c>
      <c r="AE14">
        <v>1</v>
      </c>
      <c r="AF14">
        <v>1</v>
      </c>
      <c r="AG14">
        <v>0</v>
      </c>
      <c r="AH14">
        <v>1</v>
      </c>
      <c r="AI14">
        <v>0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2</v>
      </c>
      <c r="AP14" s="4">
        <f t="shared" si="5"/>
        <v>13</v>
      </c>
    </row>
    <row r="15" spans="1:42" x14ac:dyDescent="0.25">
      <c r="A15" s="1" t="s">
        <v>123</v>
      </c>
      <c r="B15" s="11" t="s">
        <v>47</v>
      </c>
      <c r="C15" s="12">
        <f t="shared" si="0"/>
        <v>142</v>
      </c>
      <c r="D15" s="12">
        <f t="shared" si="1"/>
        <v>292</v>
      </c>
      <c r="E15" s="13">
        <f t="shared" si="2"/>
        <v>0.4863013698630137</v>
      </c>
      <c r="F15" s="14">
        <f t="shared" si="6"/>
        <v>19</v>
      </c>
      <c r="H15">
        <v>3</v>
      </c>
      <c r="I15">
        <v>6</v>
      </c>
      <c r="J15">
        <v>7</v>
      </c>
      <c r="K15">
        <v>7</v>
      </c>
      <c r="L15">
        <v>5</v>
      </c>
      <c r="M15">
        <v>10</v>
      </c>
      <c r="N15">
        <v>12</v>
      </c>
      <c r="O15">
        <v>9</v>
      </c>
      <c r="P15">
        <v>8</v>
      </c>
      <c r="Q15">
        <v>9</v>
      </c>
      <c r="R15">
        <v>9</v>
      </c>
      <c r="S15">
        <v>9</v>
      </c>
      <c r="T15">
        <v>19</v>
      </c>
      <c r="U15">
        <v>15</v>
      </c>
      <c r="V15">
        <v>4</v>
      </c>
      <c r="W15">
        <v>10</v>
      </c>
      <c r="X15" s="4">
        <f t="shared" si="4"/>
        <v>142</v>
      </c>
      <c r="Z15">
        <v>1</v>
      </c>
      <c r="AA15">
        <v>2</v>
      </c>
      <c r="AB15">
        <v>0</v>
      </c>
      <c r="AC15">
        <v>0</v>
      </c>
      <c r="AD15">
        <v>0</v>
      </c>
      <c r="AE15">
        <v>1</v>
      </c>
      <c r="AF15">
        <v>2</v>
      </c>
      <c r="AG15">
        <v>2</v>
      </c>
      <c r="AH15">
        <v>1</v>
      </c>
      <c r="AI15">
        <v>2</v>
      </c>
      <c r="AJ15">
        <v>1</v>
      </c>
      <c r="AK15">
        <v>1</v>
      </c>
      <c r="AL15">
        <v>0</v>
      </c>
      <c r="AM15">
        <v>2</v>
      </c>
      <c r="AN15">
        <v>1</v>
      </c>
      <c r="AO15">
        <v>3</v>
      </c>
      <c r="AP15" s="4">
        <f t="shared" si="5"/>
        <v>19</v>
      </c>
    </row>
    <row r="16" spans="1:42" x14ac:dyDescent="0.25">
      <c r="A16" s="1" t="s">
        <v>124</v>
      </c>
      <c r="B16" s="11" t="s">
        <v>48</v>
      </c>
      <c r="C16" s="12">
        <f t="shared" si="0"/>
        <v>142</v>
      </c>
      <c r="D16" s="12">
        <f t="shared" si="1"/>
        <v>292</v>
      </c>
      <c r="E16" s="13">
        <f t="shared" si="2"/>
        <v>0.4863013698630137</v>
      </c>
      <c r="F16" s="14">
        <f t="shared" si="6"/>
        <v>14</v>
      </c>
      <c r="H16">
        <v>5</v>
      </c>
      <c r="I16">
        <v>4</v>
      </c>
      <c r="J16">
        <v>10</v>
      </c>
      <c r="K16">
        <v>6</v>
      </c>
      <c r="L16">
        <v>5</v>
      </c>
      <c r="M16">
        <v>7</v>
      </c>
      <c r="N16">
        <v>15</v>
      </c>
      <c r="O16">
        <v>9</v>
      </c>
      <c r="P16">
        <v>9</v>
      </c>
      <c r="Q16">
        <v>12</v>
      </c>
      <c r="R16">
        <v>7</v>
      </c>
      <c r="S16">
        <v>11</v>
      </c>
      <c r="T16">
        <v>10</v>
      </c>
      <c r="U16">
        <v>16</v>
      </c>
      <c r="V16">
        <v>7</v>
      </c>
      <c r="W16">
        <v>9</v>
      </c>
      <c r="X16" s="4">
        <f t="shared" si="4"/>
        <v>142</v>
      </c>
      <c r="Z16">
        <v>1</v>
      </c>
      <c r="AA16">
        <v>1</v>
      </c>
      <c r="AB16">
        <v>1</v>
      </c>
      <c r="AC16">
        <v>1</v>
      </c>
      <c r="AD16">
        <v>0</v>
      </c>
      <c r="AE16">
        <v>0</v>
      </c>
      <c r="AF16">
        <v>1</v>
      </c>
      <c r="AG16">
        <v>0</v>
      </c>
      <c r="AH16">
        <v>1</v>
      </c>
      <c r="AI16">
        <v>0</v>
      </c>
      <c r="AJ16">
        <v>2</v>
      </c>
      <c r="AK16">
        <v>1</v>
      </c>
      <c r="AL16">
        <v>1</v>
      </c>
      <c r="AM16">
        <v>1</v>
      </c>
      <c r="AN16">
        <v>1</v>
      </c>
      <c r="AO16">
        <v>2</v>
      </c>
      <c r="AP16" s="4">
        <f t="shared" si="5"/>
        <v>14</v>
      </c>
    </row>
    <row r="17" spans="1:42" x14ac:dyDescent="0.25">
      <c r="A17" s="1" t="s">
        <v>125</v>
      </c>
      <c r="B17" s="11" t="s">
        <v>51</v>
      </c>
      <c r="C17" s="12">
        <f t="shared" si="0"/>
        <v>141</v>
      </c>
      <c r="D17" s="12">
        <f t="shared" si="1"/>
        <v>292</v>
      </c>
      <c r="E17" s="13">
        <f t="shared" si="2"/>
        <v>0.48287671232876711</v>
      </c>
      <c r="F17" s="14">
        <f t="shared" si="6"/>
        <v>22</v>
      </c>
      <c r="H17">
        <v>5</v>
      </c>
      <c r="I17">
        <v>4</v>
      </c>
      <c r="J17">
        <v>11</v>
      </c>
      <c r="K17">
        <v>6</v>
      </c>
      <c r="L17">
        <v>7</v>
      </c>
      <c r="M17">
        <v>6</v>
      </c>
      <c r="N17">
        <v>13</v>
      </c>
      <c r="O17">
        <v>12</v>
      </c>
      <c r="P17">
        <v>9</v>
      </c>
      <c r="Q17">
        <v>11</v>
      </c>
      <c r="R17">
        <v>7</v>
      </c>
      <c r="S17">
        <v>9</v>
      </c>
      <c r="T17">
        <v>12</v>
      </c>
      <c r="U17">
        <v>14</v>
      </c>
      <c r="V17">
        <v>7</v>
      </c>
      <c r="W17">
        <v>8</v>
      </c>
      <c r="X17" s="4">
        <f t="shared" si="4"/>
        <v>141</v>
      </c>
      <c r="Z17">
        <v>2</v>
      </c>
      <c r="AA17">
        <v>1</v>
      </c>
      <c r="AB17">
        <v>1</v>
      </c>
      <c r="AC17">
        <v>0</v>
      </c>
      <c r="AD17">
        <v>0</v>
      </c>
      <c r="AE17">
        <v>0</v>
      </c>
      <c r="AF17">
        <v>2</v>
      </c>
      <c r="AG17">
        <v>2</v>
      </c>
      <c r="AH17">
        <v>2</v>
      </c>
      <c r="AI17">
        <v>2</v>
      </c>
      <c r="AJ17">
        <v>1</v>
      </c>
      <c r="AK17">
        <v>1</v>
      </c>
      <c r="AL17">
        <v>2</v>
      </c>
      <c r="AM17">
        <v>1</v>
      </c>
      <c r="AN17">
        <v>3</v>
      </c>
      <c r="AO17">
        <v>2</v>
      </c>
      <c r="AP17" s="4">
        <f t="shared" si="5"/>
        <v>22</v>
      </c>
    </row>
    <row r="18" spans="1:42" x14ac:dyDescent="0.25">
      <c r="A18" s="1" t="s">
        <v>126</v>
      </c>
      <c r="B18" s="11" t="s">
        <v>41</v>
      </c>
      <c r="C18" s="12">
        <f t="shared" si="0"/>
        <v>141</v>
      </c>
      <c r="D18" s="12">
        <f t="shared" si="1"/>
        <v>292</v>
      </c>
      <c r="E18" s="13">
        <f t="shared" si="2"/>
        <v>0.48287671232876711</v>
      </c>
      <c r="F18" s="14">
        <f t="shared" si="6"/>
        <v>15</v>
      </c>
      <c r="H18">
        <v>5</v>
      </c>
      <c r="I18">
        <v>5</v>
      </c>
      <c r="J18">
        <v>11</v>
      </c>
      <c r="K18">
        <v>8</v>
      </c>
      <c r="L18">
        <v>5</v>
      </c>
      <c r="M18">
        <v>5</v>
      </c>
      <c r="N18">
        <v>11</v>
      </c>
      <c r="O18">
        <v>11</v>
      </c>
      <c r="P18">
        <v>11</v>
      </c>
      <c r="Q18">
        <v>10</v>
      </c>
      <c r="R18">
        <v>9</v>
      </c>
      <c r="S18">
        <v>9</v>
      </c>
      <c r="T18">
        <v>14</v>
      </c>
      <c r="U18">
        <v>14</v>
      </c>
      <c r="V18">
        <v>7</v>
      </c>
      <c r="W18">
        <v>6</v>
      </c>
      <c r="X18" s="4">
        <f t="shared" si="4"/>
        <v>141</v>
      </c>
      <c r="Z18">
        <v>0</v>
      </c>
      <c r="AA18">
        <v>1</v>
      </c>
      <c r="AB18">
        <v>1</v>
      </c>
      <c r="AC18">
        <v>0</v>
      </c>
      <c r="AD18">
        <v>0</v>
      </c>
      <c r="AE18">
        <v>0</v>
      </c>
      <c r="AF18">
        <v>1</v>
      </c>
      <c r="AG18">
        <v>1</v>
      </c>
      <c r="AH18">
        <v>1</v>
      </c>
      <c r="AI18">
        <v>2</v>
      </c>
      <c r="AJ18">
        <v>1</v>
      </c>
      <c r="AK18">
        <v>1</v>
      </c>
      <c r="AL18">
        <v>1</v>
      </c>
      <c r="AM18">
        <v>2</v>
      </c>
      <c r="AN18">
        <v>1</v>
      </c>
      <c r="AO18">
        <v>2</v>
      </c>
      <c r="AP18" s="4">
        <f t="shared" si="5"/>
        <v>15</v>
      </c>
    </row>
    <row r="19" spans="1:42" x14ac:dyDescent="0.25">
      <c r="A19" s="1" t="s">
        <v>127</v>
      </c>
      <c r="B19" s="11" t="s">
        <v>46</v>
      </c>
      <c r="C19" s="12">
        <f t="shared" si="0"/>
        <v>139</v>
      </c>
      <c r="D19" s="12">
        <f t="shared" si="1"/>
        <v>292</v>
      </c>
      <c r="E19" s="13">
        <f t="shared" si="2"/>
        <v>0.47602739726027399</v>
      </c>
      <c r="F19" s="14">
        <f t="shared" si="6"/>
        <v>16</v>
      </c>
      <c r="H19">
        <v>3</v>
      </c>
      <c r="I19">
        <v>3</v>
      </c>
      <c r="J19">
        <v>12</v>
      </c>
      <c r="K19">
        <v>6</v>
      </c>
      <c r="L19">
        <v>8</v>
      </c>
      <c r="M19">
        <v>7</v>
      </c>
      <c r="N19">
        <v>13</v>
      </c>
      <c r="O19">
        <v>11</v>
      </c>
      <c r="P19">
        <v>12</v>
      </c>
      <c r="Q19">
        <v>8</v>
      </c>
      <c r="R19">
        <v>8</v>
      </c>
      <c r="S19">
        <v>8</v>
      </c>
      <c r="T19">
        <v>13</v>
      </c>
      <c r="U19">
        <v>11</v>
      </c>
      <c r="V19">
        <v>8</v>
      </c>
      <c r="W19">
        <v>8</v>
      </c>
      <c r="X19" s="4">
        <f t="shared" si="4"/>
        <v>139</v>
      </c>
      <c r="Z19">
        <v>0</v>
      </c>
      <c r="AA19">
        <v>1</v>
      </c>
      <c r="AB19">
        <v>2</v>
      </c>
      <c r="AC19">
        <v>1</v>
      </c>
      <c r="AD19">
        <v>1</v>
      </c>
      <c r="AE19">
        <v>0</v>
      </c>
      <c r="AF19">
        <v>1</v>
      </c>
      <c r="AG19">
        <v>1</v>
      </c>
      <c r="AH19">
        <v>1</v>
      </c>
      <c r="AI19">
        <v>1</v>
      </c>
      <c r="AJ19">
        <v>0</v>
      </c>
      <c r="AK19">
        <v>0</v>
      </c>
      <c r="AL19">
        <v>2</v>
      </c>
      <c r="AM19">
        <v>1</v>
      </c>
      <c r="AN19">
        <v>2</v>
      </c>
      <c r="AO19">
        <v>2</v>
      </c>
      <c r="AP19" s="4">
        <f t="shared" si="5"/>
        <v>16</v>
      </c>
    </row>
    <row r="20" spans="1:42" x14ac:dyDescent="0.25">
      <c r="A20" s="1" t="s">
        <v>128</v>
      </c>
      <c r="B20" s="11" t="s">
        <v>44</v>
      </c>
      <c r="C20" s="12">
        <f t="shared" si="0"/>
        <v>136</v>
      </c>
      <c r="D20" s="12">
        <f t="shared" si="1"/>
        <v>292</v>
      </c>
      <c r="E20" s="13">
        <f t="shared" si="2"/>
        <v>0.46575342465753422</v>
      </c>
      <c r="F20" s="14">
        <f t="shared" si="6"/>
        <v>15</v>
      </c>
      <c r="H20">
        <v>4</v>
      </c>
      <c r="I20">
        <v>5</v>
      </c>
      <c r="J20">
        <v>8</v>
      </c>
      <c r="K20">
        <v>5</v>
      </c>
      <c r="L20">
        <v>6</v>
      </c>
      <c r="M20">
        <v>6</v>
      </c>
      <c r="N20">
        <v>8</v>
      </c>
      <c r="O20">
        <v>8</v>
      </c>
      <c r="P20">
        <v>12</v>
      </c>
      <c r="Q20">
        <v>12</v>
      </c>
      <c r="R20">
        <v>9</v>
      </c>
      <c r="S20">
        <v>11</v>
      </c>
      <c r="T20">
        <v>12</v>
      </c>
      <c r="U20">
        <v>13</v>
      </c>
      <c r="V20">
        <v>5</v>
      </c>
      <c r="W20">
        <v>12</v>
      </c>
      <c r="X20" s="4">
        <f t="shared" si="4"/>
        <v>136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0</v>
      </c>
      <c r="AF20">
        <v>0</v>
      </c>
      <c r="AG20">
        <v>0</v>
      </c>
      <c r="AH20">
        <v>2</v>
      </c>
      <c r="AI20">
        <v>1</v>
      </c>
      <c r="AJ20">
        <v>2</v>
      </c>
      <c r="AK20">
        <v>1</v>
      </c>
      <c r="AL20">
        <v>0</v>
      </c>
      <c r="AM20">
        <v>1</v>
      </c>
      <c r="AN20">
        <v>0</v>
      </c>
      <c r="AO20">
        <v>3</v>
      </c>
      <c r="AP20" s="4">
        <f t="shared" si="5"/>
        <v>15</v>
      </c>
    </row>
    <row r="21" spans="1:42" x14ac:dyDescent="0.25">
      <c r="A21" s="1" t="s">
        <v>129</v>
      </c>
      <c r="B21" s="11" t="s">
        <v>36</v>
      </c>
      <c r="C21" s="12">
        <f t="shared" si="0"/>
        <v>135</v>
      </c>
      <c r="D21" s="12">
        <f t="shared" si="1"/>
        <v>292</v>
      </c>
      <c r="E21" s="13">
        <f t="shared" si="2"/>
        <v>0.46232876712328769</v>
      </c>
      <c r="F21" s="14">
        <f t="shared" si="6"/>
        <v>17</v>
      </c>
      <c r="H21">
        <v>4</v>
      </c>
      <c r="I21">
        <v>5</v>
      </c>
      <c r="J21">
        <v>11</v>
      </c>
      <c r="K21">
        <v>8</v>
      </c>
      <c r="L21">
        <v>6</v>
      </c>
      <c r="M21">
        <v>6</v>
      </c>
      <c r="N21">
        <v>12</v>
      </c>
      <c r="O21">
        <v>10</v>
      </c>
      <c r="P21">
        <v>7</v>
      </c>
      <c r="Q21">
        <v>10</v>
      </c>
      <c r="R21">
        <v>7</v>
      </c>
      <c r="S21">
        <v>9</v>
      </c>
      <c r="T21">
        <v>14</v>
      </c>
      <c r="U21">
        <v>11</v>
      </c>
      <c r="V21">
        <v>6</v>
      </c>
      <c r="W21">
        <v>9</v>
      </c>
      <c r="X21" s="4">
        <f t="shared" si="4"/>
        <v>135</v>
      </c>
      <c r="Z21">
        <v>0</v>
      </c>
      <c r="AA21">
        <v>2</v>
      </c>
      <c r="AB21">
        <v>1</v>
      </c>
      <c r="AC21">
        <v>0</v>
      </c>
      <c r="AD21">
        <v>0</v>
      </c>
      <c r="AE21">
        <v>2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2</v>
      </c>
      <c r="AM21">
        <v>1</v>
      </c>
      <c r="AN21">
        <v>0</v>
      </c>
      <c r="AO21">
        <v>3</v>
      </c>
      <c r="AP21" s="4">
        <f t="shared" si="5"/>
        <v>17</v>
      </c>
    </row>
    <row r="22" spans="1:42" x14ac:dyDescent="0.25">
      <c r="A22" s="1" t="s">
        <v>130</v>
      </c>
      <c r="B22" s="11" t="s">
        <v>42</v>
      </c>
      <c r="C22" s="12">
        <f t="shared" si="0"/>
        <v>134</v>
      </c>
      <c r="D22" s="12">
        <f t="shared" si="1"/>
        <v>292</v>
      </c>
      <c r="E22" s="13">
        <f t="shared" si="2"/>
        <v>0.4589041095890411</v>
      </c>
      <c r="F22" s="14">
        <f t="shared" si="6"/>
        <v>15</v>
      </c>
      <c r="H22">
        <v>7</v>
      </c>
      <c r="I22">
        <v>4</v>
      </c>
      <c r="J22">
        <v>9</v>
      </c>
      <c r="K22">
        <v>4</v>
      </c>
      <c r="L22">
        <v>7</v>
      </c>
      <c r="M22">
        <v>6</v>
      </c>
      <c r="N22">
        <v>16</v>
      </c>
      <c r="O22">
        <v>10</v>
      </c>
      <c r="P22">
        <v>9</v>
      </c>
      <c r="Q22">
        <v>7</v>
      </c>
      <c r="R22">
        <v>8</v>
      </c>
      <c r="S22">
        <v>10</v>
      </c>
      <c r="T22">
        <v>12</v>
      </c>
      <c r="U22">
        <v>10</v>
      </c>
      <c r="V22">
        <v>5</v>
      </c>
      <c r="W22">
        <v>10</v>
      </c>
      <c r="X22" s="4">
        <f t="shared" si="4"/>
        <v>134</v>
      </c>
      <c r="Z22">
        <v>0</v>
      </c>
      <c r="AA22">
        <v>1</v>
      </c>
      <c r="AB22">
        <v>1</v>
      </c>
      <c r="AC22">
        <v>0</v>
      </c>
      <c r="AD22">
        <v>2</v>
      </c>
      <c r="AE22">
        <v>1</v>
      </c>
      <c r="AF22">
        <v>1</v>
      </c>
      <c r="AG22">
        <v>1</v>
      </c>
      <c r="AH22">
        <v>0</v>
      </c>
      <c r="AI22">
        <v>1</v>
      </c>
      <c r="AJ22">
        <v>0</v>
      </c>
      <c r="AK22">
        <v>2</v>
      </c>
      <c r="AL22">
        <v>2</v>
      </c>
      <c r="AM22">
        <v>1</v>
      </c>
      <c r="AN22">
        <v>1</v>
      </c>
      <c r="AO22">
        <v>1</v>
      </c>
      <c r="AP22" s="4">
        <f t="shared" si="5"/>
        <v>15</v>
      </c>
    </row>
    <row r="23" spans="1:42" x14ac:dyDescent="0.25">
      <c r="A23" s="1" t="s">
        <v>131</v>
      </c>
      <c r="B23" s="11" t="s">
        <v>59</v>
      </c>
      <c r="C23" s="12">
        <f t="shared" si="0"/>
        <v>132</v>
      </c>
      <c r="D23" s="12">
        <f t="shared" si="1"/>
        <v>292</v>
      </c>
      <c r="E23" s="13">
        <f t="shared" si="2"/>
        <v>0.45205479452054792</v>
      </c>
      <c r="F23" s="14">
        <f t="shared" si="6"/>
        <v>10</v>
      </c>
      <c r="H23">
        <v>4</v>
      </c>
      <c r="I23">
        <v>4</v>
      </c>
      <c r="J23">
        <v>11</v>
      </c>
      <c r="K23">
        <v>9</v>
      </c>
      <c r="L23">
        <v>4</v>
      </c>
      <c r="M23">
        <v>7</v>
      </c>
      <c r="N23">
        <v>12</v>
      </c>
      <c r="O23">
        <v>7</v>
      </c>
      <c r="P23">
        <v>11</v>
      </c>
      <c r="Q23">
        <v>13</v>
      </c>
      <c r="R23">
        <v>10</v>
      </c>
      <c r="S23">
        <v>6</v>
      </c>
      <c r="T23">
        <v>12</v>
      </c>
      <c r="U23">
        <v>11</v>
      </c>
      <c r="V23">
        <v>5</v>
      </c>
      <c r="W23">
        <v>6</v>
      </c>
      <c r="X23" s="4">
        <f t="shared" si="4"/>
        <v>132</v>
      </c>
      <c r="Z23">
        <v>0</v>
      </c>
      <c r="AA23">
        <v>0</v>
      </c>
      <c r="AB23">
        <v>1</v>
      </c>
      <c r="AC23">
        <v>1</v>
      </c>
      <c r="AD23">
        <v>1</v>
      </c>
      <c r="AE23">
        <v>0</v>
      </c>
      <c r="AF23">
        <v>2</v>
      </c>
      <c r="AG23">
        <v>0</v>
      </c>
      <c r="AH23">
        <v>1</v>
      </c>
      <c r="AI23">
        <v>1</v>
      </c>
      <c r="AJ23">
        <v>0</v>
      </c>
      <c r="AK23">
        <v>0</v>
      </c>
      <c r="AL23">
        <v>2</v>
      </c>
      <c r="AM23">
        <v>1</v>
      </c>
      <c r="AN23">
        <v>0</v>
      </c>
      <c r="AO23">
        <v>0</v>
      </c>
      <c r="AP23" s="4">
        <f t="shared" si="5"/>
        <v>10</v>
      </c>
    </row>
    <row r="24" spans="1:42" x14ac:dyDescent="0.25">
      <c r="A24" s="1" t="s">
        <v>132</v>
      </c>
      <c r="B24" s="11" t="s">
        <v>78</v>
      </c>
      <c r="C24" s="12">
        <f t="shared" si="0"/>
        <v>126</v>
      </c>
      <c r="D24" s="12">
        <f t="shared" si="1"/>
        <v>292</v>
      </c>
      <c r="E24" s="13">
        <f t="shared" si="2"/>
        <v>0.4315068493150685</v>
      </c>
      <c r="F24" s="14">
        <f t="shared" si="6"/>
        <v>15</v>
      </c>
      <c r="H24">
        <v>5</v>
      </c>
      <c r="I24">
        <v>3</v>
      </c>
      <c r="J24">
        <v>10</v>
      </c>
      <c r="K24">
        <v>6</v>
      </c>
      <c r="L24">
        <v>6</v>
      </c>
      <c r="M24">
        <v>6</v>
      </c>
      <c r="N24">
        <v>13</v>
      </c>
      <c r="O24">
        <v>11</v>
      </c>
      <c r="P24">
        <v>10</v>
      </c>
      <c r="Q24">
        <v>11</v>
      </c>
      <c r="R24">
        <v>7</v>
      </c>
      <c r="S24">
        <v>5</v>
      </c>
      <c r="T24">
        <v>14</v>
      </c>
      <c r="U24">
        <v>7</v>
      </c>
      <c r="V24">
        <v>3</v>
      </c>
      <c r="W24">
        <v>9</v>
      </c>
      <c r="X24" s="4">
        <f t="shared" si="4"/>
        <v>126</v>
      </c>
      <c r="Z24">
        <v>2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2</v>
      </c>
      <c r="AI24">
        <v>2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1</v>
      </c>
      <c r="AP24" s="4">
        <f t="shared" si="5"/>
        <v>15</v>
      </c>
    </row>
    <row r="25" spans="1:42" x14ac:dyDescent="0.25">
      <c r="A25" s="1" t="s">
        <v>133</v>
      </c>
      <c r="B25" s="11" t="s">
        <v>38</v>
      </c>
      <c r="C25" s="12">
        <f t="shared" si="0"/>
        <v>121</v>
      </c>
      <c r="D25" s="12">
        <f t="shared" si="1"/>
        <v>292</v>
      </c>
      <c r="E25" s="13">
        <f t="shared" si="2"/>
        <v>0.41438356164383561</v>
      </c>
      <c r="F25" s="14">
        <f t="shared" si="6"/>
        <v>13</v>
      </c>
      <c r="H25">
        <v>4</v>
      </c>
      <c r="I25">
        <v>6</v>
      </c>
      <c r="J25">
        <v>10</v>
      </c>
      <c r="K25">
        <v>3</v>
      </c>
      <c r="L25">
        <v>7</v>
      </c>
      <c r="M25">
        <v>7</v>
      </c>
      <c r="N25">
        <v>10</v>
      </c>
      <c r="O25">
        <v>9</v>
      </c>
      <c r="P25">
        <v>7</v>
      </c>
      <c r="Q25">
        <v>10</v>
      </c>
      <c r="R25">
        <v>8</v>
      </c>
      <c r="S25">
        <v>5</v>
      </c>
      <c r="T25">
        <v>12</v>
      </c>
      <c r="U25">
        <v>11</v>
      </c>
      <c r="V25">
        <v>4</v>
      </c>
      <c r="W25">
        <v>8</v>
      </c>
      <c r="X25" s="4">
        <f t="shared" si="4"/>
        <v>121</v>
      </c>
      <c r="Z25">
        <v>1</v>
      </c>
      <c r="AA25">
        <v>1</v>
      </c>
      <c r="AB25">
        <v>2</v>
      </c>
      <c r="AC25">
        <v>1</v>
      </c>
      <c r="AD25">
        <v>0</v>
      </c>
      <c r="AE25">
        <v>1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2</v>
      </c>
      <c r="AM25">
        <v>0</v>
      </c>
      <c r="AN25">
        <v>1</v>
      </c>
      <c r="AO25">
        <v>3</v>
      </c>
      <c r="AP25" s="4">
        <f t="shared" si="5"/>
        <v>13</v>
      </c>
    </row>
    <row r="26" spans="1:42" x14ac:dyDescent="0.25">
      <c r="A26" s="1"/>
      <c r="B26" s="16"/>
      <c r="C26" s="17"/>
      <c r="D26" s="17"/>
      <c r="E26" s="18"/>
      <c r="F26" s="19"/>
      <c r="X26" s="4"/>
      <c r="AP26" s="4"/>
    </row>
    <row r="27" spans="1:42" ht="15.75" thickBot="1" x14ac:dyDescent="0.3">
      <c r="A27" s="1"/>
      <c r="B27" s="20" t="s">
        <v>106</v>
      </c>
      <c r="C27" s="21">
        <f>X27</f>
        <v>140</v>
      </c>
      <c r="D27" s="21">
        <f>$X$28</f>
        <v>292</v>
      </c>
      <c r="E27" s="22">
        <f>C27/D27</f>
        <v>0.47945205479452052</v>
      </c>
      <c r="F27" s="23">
        <f>AP27</f>
        <v>18</v>
      </c>
      <c r="H27">
        <v>4</v>
      </c>
      <c r="I27">
        <v>5</v>
      </c>
      <c r="J27">
        <v>11</v>
      </c>
      <c r="K27">
        <v>5</v>
      </c>
      <c r="L27">
        <v>5</v>
      </c>
      <c r="M27">
        <v>6</v>
      </c>
      <c r="N27">
        <v>14</v>
      </c>
      <c r="O27">
        <v>12</v>
      </c>
      <c r="P27">
        <v>10</v>
      </c>
      <c r="Q27">
        <v>11</v>
      </c>
      <c r="R27">
        <v>7</v>
      </c>
      <c r="S27">
        <v>9</v>
      </c>
      <c r="T27">
        <v>13</v>
      </c>
      <c r="U27">
        <v>14</v>
      </c>
      <c r="V27">
        <v>6</v>
      </c>
      <c r="W27">
        <v>8</v>
      </c>
      <c r="X27" s="4">
        <f>SUM(H27:W27)</f>
        <v>140</v>
      </c>
      <c r="Z27">
        <v>1</v>
      </c>
      <c r="AA27">
        <v>2</v>
      </c>
      <c r="AB27">
        <v>1</v>
      </c>
      <c r="AC27">
        <v>0</v>
      </c>
      <c r="AD27">
        <v>0</v>
      </c>
      <c r="AE27">
        <v>0</v>
      </c>
      <c r="AF27">
        <v>2</v>
      </c>
      <c r="AG27">
        <v>0</v>
      </c>
      <c r="AH27">
        <v>1</v>
      </c>
      <c r="AI27">
        <v>2</v>
      </c>
      <c r="AJ27">
        <v>1</v>
      </c>
      <c r="AK27">
        <v>1</v>
      </c>
      <c r="AL27">
        <v>2</v>
      </c>
      <c r="AM27">
        <v>2</v>
      </c>
      <c r="AN27">
        <v>1</v>
      </c>
      <c r="AO27">
        <v>2</v>
      </c>
      <c r="AP27" s="4">
        <f>SUM(Z27:AO27)</f>
        <v>18</v>
      </c>
    </row>
    <row r="28" spans="1:42" x14ac:dyDescent="0.25">
      <c r="A28" s="1"/>
      <c r="C28" s="9"/>
      <c r="D28" s="9"/>
      <c r="E28" s="9"/>
      <c r="F28" s="9"/>
      <c r="H28">
        <v>11</v>
      </c>
      <c r="I28">
        <v>11</v>
      </c>
      <c r="J28">
        <v>19</v>
      </c>
      <c r="K28">
        <v>18</v>
      </c>
      <c r="L28">
        <v>16</v>
      </c>
      <c r="M28">
        <v>14</v>
      </c>
      <c r="N28">
        <v>22</v>
      </c>
      <c r="O28">
        <v>21</v>
      </c>
      <c r="P28">
        <v>19</v>
      </c>
      <c r="Q28">
        <v>19</v>
      </c>
      <c r="R28">
        <v>19</v>
      </c>
      <c r="S28">
        <v>23</v>
      </c>
      <c r="T28">
        <v>26</v>
      </c>
      <c r="U28">
        <v>21</v>
      </c>
      <c r="V28">
        <v>14</v>
      </c>
      <c r="W28">
        <v>19</v>
      </c>
      <c r="X28" s="24">
        <f>SUM(H28:W28)</f>
        <v>292</v>
      </c>
      <c r="AP28" s="4"/>
    </row>
    <row r="29" spans="1:42" x14ac:dyDescent="0.25">
      <c r="A29" s="1"/>
      <c r="C29" s="9"/>
      <c r="D29" s="9"/>
      <c r="E29" s="9"/>
      <c r="F29" s="9"/>
      <c r="X29" s="4"/>
      <c r="AP29" s="4"/>
    </row>
    <row r="30" spans="1:42" x14ac:dyDescent="0.25">
      <c r="A30" s="1"/>
      <c r="B30" s="25" t="s">
        <v>64</v>
      </c>
      <c r="C30" s="12">
        <f>$X$30</f>
        <v>141</v>
      </c>
      <c r="D30" s="12">
        <f>$X$28</f>
        <v>292</v>
      </c>
      <c r="E30" s="13">
        <f>C30/D30</f>
        <v>0.48287671232876711</v>
      </c>
      <c r="F30" s="12"/>
      <c r="H30">
        <v>5</v>
      </c>
      <c r="I30">
        <v>4</v>
      </c>
      <c r="J30">
        <v>11</v>
      </c>
      <c r="K30">
        <v>6</v>
      </c>
      <c r="L30">
        <v>7</v>
      </c>
      <c r="M30">
        <v>6</v>
      </c>
      <c r="N30">
        <v>13</v>
      </c>
      <c r="O30">
        <v>12</v>
      </c>
      <c r="P30">
        <v>9</v>
      </c>
      <c r="Q30">
        <v>11</v>
      </c>
      <c r="R30">
        <v>7</v>
      </c>
      <c r="S30">
        <v>9</v>
      </c>
      <c r="T30">
        <v>12</v>
      </c>
      <c r="U30">
        <v>14</v>
      </c>
      <c r="V30">
        <v>7</v>
      </c>
      <c r="W30">
        <v>8</v>
      </c>
      <c r="X30" s="4">
        <f>SUM(H30:W30)</f>
        <v>141</v>
      </c>
      <c r="AP30" s="4"/>
    </row>
  </sheetData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P30"/>
  <sheetViews>
    <sheetView workbookViewId="0">
      <selection activeCell="H1" sqref="H1"/>
    </sheetView>
  </sheetViews>
  <sheetFormatPr defaultColWidth="8.85546875" defaultRowHeight="15" x14ac:dyDescent="0.25"/>
  <cols>
    <col min="1" max="1" width="5.28515625" bestFit="1" customWidth="1"/>
    <col min="2" max="2" width="19.710937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9" width="5" bestFit="1" customWidth="1"/>
    <col min="10" max="11" width="3.42578125" bestFit="1" customWidth="1"/>
    <col min="12" max="13" width="5" bestFit="1" customWidth="1"/>
    <col min="14" max="16" width="3.42578125" bestFit="1" customWidth="1"/>
    <col min="17" max="18" width="4.42578125" bestFit="1" customWidth="1"/>
    <col min="19" max="19" width="5" bestFit="1" customWidth="1"/>
    <col min="20" max="22" width="4.42578125" bestFit="1" customWidth="1"/>
    <col min="23" max="23" width="6.28515625" bestFit="1" customWidth="1"/>
    <col min="24" max="24" width="6" bestFit="1" customWidth="1"/>
    <col min="25" max="25" width="2.7109375" customWidth="1"/>
    <col min="26" max="26" width="3" bestFit="1" customWidth="1"/>
    <col min="27" max="27" width="4" bestFit="1" customWidth="1"/>
    <col min="28" max="29" width="3" bestFit="1" customWidth="1"/>
    <col min="30" max="31" width="4" bestFit="1" customWidth="1"/>
    <col min="32" max="34" width="3" bestFit="1" customWidth="1"/>
    <col min="35" max="40" width="4" bestFit="1" customWidth="1"/>
    <col min="41" max="41" width="6.28515625" bestFit="1" customWidth="1"/>
    <col min="42" max="42" width="5.42578125" bestFit="1" customWidth="1"/>
  </cols>
  <sheetData>
    <row r="1" spans="1:42" ht="19.5" thickBot="1" x14ac:dyDescent="0.35">
      <c r="A1" s="26"/>
      <c r="B1" s="30" t="s">
        <v>83</v>
      </c>
      <c r="C1" s="3"/>
      <c r="D1" s="3"/>
      <c r="E1" s="3"/>
      <c r="F1" s="3"/>
      <c r="X1" s="4"/>
      <c r="AP1" s="4"/>
    </row>
    <row r="2" spans="1:42" x14ac:dyDescent="0.25">
      <c r="A2" s="26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20</v>
      </c>
      <c r="X2" s="10" t="s">
        <v>2</v>
      </c>
      <c r="Y2" s="9"/>
      <c r="Z2" s="9" t="s">
        <v>21</v>
      </c>
      <c r="AA2" s="9" t="s">
        <v>22</v>
      </c>
      <c r="AB2" s="9" t="s">
        <v>23</v>
      </c>
      <c r="AC2" s="9" t="s">
        <v>24</v>
      </c>
      <c r="AD2" s="9" t="s">
        <v>25</v>
      </c>
      <c r="AE2" s="9" t="s">
        <v>26</v>
      </c>
      <c r="AF2" s="9" t="s">
        <v>27</v>
      </c>
      <c r="AG2" s="9" t="s">
        <v>28</v>
      </c>
      <c r="AH2" s="9" t="s">
        <v>29</v>
      </c>
      <c r="AI2" s="9" t="s">
        <v>30</v>
      </c>
      <c r="AJ2" s="9" t="s">
        <v>31</v>
      </c>
      <c r="AK2" s="9" t="s">
        <v>32</v>
      </c>
      <c r="AL2" s="9" t="s">
        <v>33</v>
      </c>
      <c r="AM2" s="9" t="s">
        <v>34</v>
      </c>
      <c r="AN2" s="9" t="s">
        <v>35</v>
      </c>
      <c r="AO2" s="9" t="s">
        <v>20</v>
      </c>
      <c r="AP2" s="10" t="s">
        <v>2</v>
      </c>
    </row>
    <row r="3" spans="1:42" x14ac:dyDescent="0.25">
      <c r="A3" s="26" t="s">
        <v>111</v>
      </c>
      <c r="B3" s="11" t="s">
        <v>42</v>
      </c>
      <c r="C3" s="12">
        <f t="shared" ref="C3:C25" si="0">X3</f>
        <v>167.5</v>
      </c>
      <c r="D3" s="12">
        <f t="shared" ref="D3:D25" si="1">$X$28</f>
        <v>300</v>
      </c>
      <c r="E3" s="13">
        <f t="shared" ref="E3:E25" si="2">C3/D3</f>
        <v>0.55833333333333335</v>
      </c>
      <c r="F3" s="14">
        <f t="shared" ref="F3:F25" si="3">AP3</f>
        <v>24.5</v>
      </c>
      <c r="H3" s="9">
        <v>10</v>
      </c>
      <c r="I3" s="9">
        <v>13.5</v>
      </c>
      <c r="J3" s="9">
        <v>9</v>
      </c>
      <c r="K3" s="9">
        <v>13</v>
      </c>
      <c r="L3" s="9">
        <v>11.5</v>
      </c>
      <c r="M3" s="9">
        <v>8.5</v>
      </c>
      <c r="N3" s="9">
        <v>12</v>
      </c>
      <c r="O3" s="9">
        <v>11</v>
      </c>
      <c r="P3" s="9">
        <v>12</v>
      </c>
      <c r="Q3" s="9">
        <v>8</v>
      </c>
      <c r="R3" s="9">
        <v>13</v>
      </c>
      <c r="S3" s="9">
        <v>11</v>
      </c>
      <c r="T3" s="9">
        <v>10</v>
      </c>
      <c r="U3" s="9">
        <v>11</v>
      </c>
      <c r="V3" s="9">
        <v>4</v>
      </c>
      <c r="W3" s="9">
        <v>10</v>
      </c>
      <c r="X3" s="4">
        <f t="shared" ref="X3:X25" si="4">SUM(H3:W3)</f>
        <v>167.5</v>
      </c>
      <c r="Z3" s="9">
        <v>1</v>
      </c>
      <c r="AA3" s="9">
        <v>0.5</v>
      </c>
      <c r="AB3" s="9">
        <v>2</v>
      </c>
      <c r="AC3" s="9">
        <v>1</v>
      </c>
      <c r="AD3" s="9">
        <v>2</v>
      </c>
      <c r="AE3" s="9">
        <v>1</v>
      </c>
      <c r="AF3" s="9">
        <v>1</v>
      </c>
      <c r="AG3" s="9">
        <v>2</v>
      </c>
      <c r="AH3" s="9">
        <v>2</v>
      </c>
      <c r="AI3" s="9">
        <v>1</v>
      </c>
      <c r="AJ3" s="9">
        <v>1</v>
      </c>
      <c r="AK3" s="9">
        <v>2</v>
      </c>
      <c r="AL3" s="9">
        <v>1</v>
      </c>
      <c r="AM3" s="9">
        <v>2</v>
      </c>
      <c r="AN3" s="9">
        <v>2</v>
      </c>
      <c r="AO3" s="9">
        <v>3</v>
      </c>
      <c r="AP3" s="4">
        <f t="shared" ref="AP3:AP25" si="5">SUM(Z3:AO3)</f>
        <v>24.5</v>
      </c>
    </row>
    <row r="4" spans="1:42" x14ac:dyDescent="0.25">
      <c r="A4" s="26" t="s">
        <v>112</v>
      </c>
      <c r="B4" s="11" t="s">
        <v>61</v>
      </c>
      <c r="C4" s="12">
        <f t="shared" si="0"/>
        <v>166.5</v>
      </c>
      <c r="D4" s="12">
        <f t="shared" si="1"/>
        <v>300</v>
      </c>
      <c r="E4" s="13">
        <f t="shared" si="2"/>
        <v>0.55500000000000005</v>
      </c>
      <c r="F4" s="14">
        <f t="shared" si="3"/>
        <v>24</v>
      </c>
      <c r="H4" s="9">
        <v>12</v>
      </c>
      <c r="I4" s="9">
        <v>12.5</v>
      </c>
      <c r="J4" s="9">
        <v>11</v>
      </c>
      <c r="K4" s="9">
        <v>11</v>
      </c>
      <c r="L4" s="9">
        <v>10.5</v>
      </c>
      <c r="M4" s="9">
        <v>9.5</v>
      </c>
      <c r="N4" s="9">
        <v>10</v>
      </c>
      <c r="O4" s="9">
        <v>12</v>
      </c>
      <c r="P4" s="9">
        <v>10</v>
      </c>
      <c r="Q4" s="9">
        <v>12</v>
      </c>
      <c r="R4" s="9">
        <v>10</v>
      </c>
      <c r="S4" s="9">
        <v>14</v>
      </c>
      <c r="T4" s="9">
        <v>9</v>
      </c>
      <c r="U4" s="9">
        <v>9</v>
      </c>
      <c r="V4" s="9">
        <v>5</v>
      </c>
      <c r="W4" s="9">
        <v>9</v>
      </c>
      <c r="X4" s="4">
        <f t="shared" si="4"/>
        <v>166.5</v>
      </c>
      <c r="Z4" s="9">
        <v>2</v>
      </c>
      <c r="AA4" s="9">
        <v>1</v>
      </c>
      <c r="AB4" s="9">
        <v>1</v>
      </c>
      <c r="AC4" s="9">
        <v>1</v>
      </c>
      <c r="AD4" s="9">
        <v>0</v>
      </c>
      <c r="AE4" s="9">
        <v>1</v>
      </c>
      <c r="AF4" s="9">
        <v>1</v>
      </c>
      <c r="AG4" s="9">
        <v>2</v>
      </c>
      <c r="AH4" s="9">
        <v>1</v>
      </c>
      <c r="AI4" s="9">
        <v>2</v>
      </c>
      <c r="AJ4" s="9">
        <v>2</v>
      </c>
      <c r="AK4" s="9">
        <v>2</v>
      </c>
      <c r="AL4" s="9">
        <v>1</v>
      </c>
      <c r="AM4" s="9">
        <v>1</v>
      </c>
      <c r="AN4" s="9">
        <v>2</v>
      </c>
      <c r="AO4" s="9">
        <v>4</v>
      </c>
      <c r="AP4" s="4">
        <f t="shared" si="5"/>
        <v>24</v>
      </c>
    </row>
    <row r="5" spans="1:42" x14ac:dyDescent="0.25">
      <c r="A5" s="26" t="s">
        <v>113</v>
      </c>
      <c r="B5" s="11" t="s">
        <v>48</v>
      </c>
      <c r="C5" s="12">
        <f t="shared" si="0"/>
        <v>161.5</v>
      </c>
      <c r="D5" s="12">
        <f t="shared" si="1"/>
        <v>300</v>
      </c>
      <c r="E5" s="13">
        <f t="shared" si="2"/>
        <v>0.53833333333333333</v>
      </c>
      <c r="F5" s="14">
        <f t="shared" si="3"/>
        <v>21.5</v>
      </c>
      <c r="H5" s="9">
        <v>12</v>
      </c>
      <c r="I5" s="9">
        <v>12.5</v>
      </c>
      <c r="J5" s="9">
        <v>10</v>
      </c>
      <c r="K5" s="9">
        <v>9</v>
      </c>
      <c r="L5" s="9">
        <v>11.5</v>
      </c>
      <c r="M5" s="9">
        <v>10.5</v>
      </c>
      <c r="N5" s="9">
        <v>12</v>
      </c>
      <c r="O5" s="9">
        <v>11</v>
      </c>
      <c r="P5" s="9">
        <v>10</v>
      </c>
      <c r="Q5" s="9">
        <v>9</v>
      </c>
      <c r="R5" s="9">
        <v>9</v>
      </c>
      <c r="S5" s="9">
        <v>15</v>
      </c>
      <c r="T5" s="9">
        <v>8</v>
      </c>
      <c r="U5" s="9">
        <v>11</v>
      </c>
      <c r="V5" s="9">
        <v>3</v>
      </c>
      <c r="W5" s="9">
        <v>8</v>
      </c>
      <c r="X5" s="4">
        <f t="shared" si="4"/>
        <v>161.5</v>
      </c>
      <c r="Z5" s="9">
        <v>2</v>
      </c>
      <c r="AA5" s="9">
        <v>1.5</v>
      </c>
      <c r="AB5" s="9">
        <v>1</v>
      </c>
      <c r="AC5" s="9">
        <v>2</v>
      </c>
      <c r="AD5" s="9">
        <v>1</v>
      </c>
      <c r="AE5" s="9">
        <v>1</v>
      </c>
      <c r="AF5" s="9">
        <v>1</v>
      </c>
      <c r="AG5" s="9">
        <v>2</v>
      </c>
      <c r="AH5" s="9">
        <v>0</v>
      </c>
      <c r="AI5" s="9">
        <v>1</v>
      </c>
      <c r="AJ5" s="9">
        <v>1</v>
      </c>
      <c r="AK5" s="9">
        <v>2</v>
      </c>
      <c r="AL5" s="9">
        <v>0</v>
      </c>
      <c r="AM5" s="9">
        <v>2</v>
      </c>
      <c r="AN5" s="9">
        <v>1</v>
      </c>
      <c r="AO5" s="9">
        <v>3</v>
      </c>
      <c r="AP5" s="4">
        <f t="shared" si="5"/>
        <v>21.5</v>
      </c>
    </row>
    <row r="6" spans="1:42" x14ac:dyDescent="0.25">
      <c r="A6" s="26" t="s">
        <v>114</v>
      </c>
      <c r="B6" s="11" t="s">
        <v>51</v>
      </c>
      <c r="C6" s="12">
        <f t="shared" si="0"/>
        <v>160.5</v>
      </c>
      <c r="D6" s="12">
        <f t="shared" si="1"/>
        <v>300</v>
      </c>
      <c r="E6" s="13">
        <f t="shared" si="2"/>
        <v>0.53500000000000003</v>
      </c>
      <c r="F6" s="14">
        <f t="shared" si="3"/>
        <v>21</v>
      </c>
      <c r="H6" s="9">
        <v>10</v>
      </c>
      <c r="I6" s="9">
        <v>13.5</v>
      </c>
      <c r="J6" s="9">
        <v>8</v>
      </c>
      <c r="K6" s="9">
        <v>12</v>
      </c>
      <c r="L6" s="9">
        <v>11.5</v>
      </c>
      <c r="M6" s="9">
        <v>10.5</v>
      </c>
      <c r="N6" s="9">
        <v>12</v>
      </c>
      <c r="O6" s="9">
        <v>11</v>
      </c>
      <c r="P6" s="9">
        <v>11</v>
      </c>
      <c r="Q6" s="9">
        <v>10</v>
      </c>
      <c r="R6" s="9">
        <v>7</v>
      </c>
      <c r="S6" s="9">
        <v>13</v>
      </c>
      <c r="T6" s="9">
        <v>9</v>
      </c>
      <c r="U6" s="9">
        <v>11</v>
      </c>
      <c r="V6" s="9">
        <v>3</v>
      </c>
      <c r="W6" s="9">
        <v>8</v>
      </c>
      <c r="X6" s="4">
        <f t="shared" si="4"/>
        <v>160.5</v>
      </c>
      <c r="Z6" s="9">
        <v>2</v>
      </c>
      <c r="AA6" s="9">
        <v>1</v>
      </c>
      <c r="AB6" s="9">
        <v>2</v>
      </c>
      <c r="AC6" s="9">
        <v>1</v>
      </c>
      <c r="AD6" s="9">
        <v>1</v>
      </c>
      <c r="AE6" s="9">
        <v>1</v>
      </c>
      <c r="AF6" s="9">
        <v>1</v>
      </c>
      <c r="AG6" s="9">
        <v>1</v>
      </c>
      <c r="AH6" s="9">
        <v>1</v>
      </c>
      <c r="AI6" s="9">
        <v>1</v>
      </c>
      <c r="AJ6" s="9">
        <v>0</v>
      </c>
      <c r="AK6" s="9">
        <v>2</v>
      </c>
      <c r="AL6" s="9">
        <v>1</v>
      </c>
      <c r="AM6" s="9">
        <v>2</v>
      </c>
      <c r="AN6" s="9">
        <v>1</v>
      </c>
      <c r="AO6" s="9">
        <v>3</v>
      </c>
      <c r="AP6" s="4">
        <f t="shared" si="5"/>
        <v>21</v>
      </c>
    </row>
    <row r="7" spans="1:42" x14ac:dyDescent="0.25">
      <c r="A7" s="26" t="s">
        <v>115</v>
      </c>
      <c r="B7" s="11" t="s">
        <v>54</v>
      </c>
      <c r="C7" s="12">
        <f t="shared" si="0"/>
        <v>159.5</v>
      </c>
      <c r="D7" s="12">
        <f t="shared" si="1"/>
        <v>300</v>
      </c>
      <c r="E7" s="13">
        <f t="shared" si="2"/>
        <v>0.53166666666666662</v>
      </c>
      <c r="F7" s="14">
        <f t="shared" si="3"/>
        <v>18.5</v>
      </c>
      <c r="H7" s="9">
        <v>12</v>
      </c>
      <c r="I7" s="9">
        <v>10.5</v>
      </c>
      <c r="J7" s="9">
        <v>10</v>
      </c>
      <c r="K7" s="9">
        <v>11</v>
      </c>
      <c r="L7" s="9">
        <v>14.5</v>
      </c>
      <c r="M7" s="9">
        <v>9.5</v>
      </c>
      <c r="N7" s="9">
        <v>11</v>
      </c>
      <c r="O7" s="9">
        <v>11</v>
      </c>
      <c r="P7" s="9">
        <v>6</v>
      </c>
      <c r="Q7" s="9">
        <v>10</v>
      </c>
      <c r="R7" s="9">
        <v>8</v>
      </c>
      <c r="S7" s="9">
        <v>15</v>
      </c>
      <c r="T7" s="9">
        <v>8</v>
      </c>
      <c r="U7" s="9">
        <v>10</v>
      </c>
      <c r="V7" s="9">
        <v>4</v>
      </c>
      <c r="W7" s="9">
        <v>9</v>
      </c>
      <c r="X7" s="4">
        <f t="shared" si="4"/>
        <v>159.5</v>
      </c>
      <c r="Z7" s="9">
        <v>1</v>
      </c>
      <c r="AA7" s="9">
        <v>1</v>
      </c>
      <c r="AB7" s="9">
        <v>2</v>
      </c>
      <c r="AC7" s="9">
        <v>1</v>
      </c>
      <c r="AD7" s="9">
        <v>1.5</v>
      </c>
      <c r="AE7" s="9">
        <v>0</v>
      </c>
      <c r="AF7" s="9">
        <v>2</v>
      </c>
      <c r="AG7" s="9">
        <v>0</v>
      </c>
      <c r="AH7" s="9">
        <v>1</v>
      </c>
      <c r="AI7" s="9">
        <v>2</v>
      </c>
      <c r="AJ7" s="9">
        <v>1</v>
      </c>
      <c r="AK7" s="9">
        <v>0</v>
      </c>
      <c r="AL7" s="9">
        <v>1</v>
      </c>
      <c r="AM7" s="9">
        <v>0</v>
      </c>
      <c r="AN7" s="9">
        <v>2</v>
      </c>
      <c r="AO7" s="9">
        <v>3</v>
      </c>
      <c r="AP7" s="4">
        <f t="shared" si="5"/>
        <v>18.5</v>
      </c>
    </row>
    <row r="8" spans="1:42" x14ac:dyDescent="0.25">
      <c r="A8" s="26" t="s">
        <v>116</v>
      </c>
      <c r="B8" s="11" t="s">
        <v>66</v>
      </c>
      <c r="C8" s="12">
        <f t="shared" si="0"/>
        <v>157.5</v>
      </c>
      <c r="D8" s="12">
        <f t="shared" si="1"/>
        <v>300</v>
      </c>
      <c r="E8" s="13">
        <f t="shared" si="2"/>
        <v>0.52500000000000002</v>
      </c>
      <c r="F8" s="14">
        <f t="shared" si="3"/>
        <v>18.5</v>
      </c>
      <c r="H8" s="9">
        <v>9</v>
      </c>
      <c r="I8" s="9">
        <v>13.5</v>
      </c>
      <c r="J8" s="9">
        <v>8</v>
      </c>
      <c r="K8" s="9">
        <v>11</v>
      </c>
      <c r="L8" s="9">
        <v>13.5</v>
      </c>
      <c r="M8" s="9">
        <v>9.5</v>
      </c>
      <c r="N8" s="9">
        <v>14</v>
      </c>
      <c r="O8" s="9">
        <v>10</v>
      </c>
      <c r="P8" s="9">
        <v>12</v>
      </c>
      <c r="Q8" s="9">
        <v>12</v>
      </c>
      <c r="R8" s="9">
        <v>8</v>
      </c>
      <c r="S8" s="9">
        <v>12</v>
      </c>
      <c r="T8" s="9">
        <v>8</v>
      </c>
      <c r="U8" s="9">
        <v>6</v>
      </c>
      <c r="V8" s="9">
        <v>5</v>
      </c>
      <c r="W8" s="9">
        <v>6</v>
      </c>
      <c r="X8" s="4">
        <f t="shared" si="4"/>
        <v>157.5</v>
      </c>
      <c r="Z8" s="9">
        <v>2</v>
      </c>
      <c r="AA8" s="9">
        <v>1</v>
      </c>
      <c r="AB8" s="9">
        <v>1</v>
      </c>
      <c r="AC8" s="9">
        <v>1</v>
      </c>
      <c r="AD8" s="9">
        <v>1.5</v>
      </c>
      <c r="AE8" s="9">
        <v>1</v>
      </c>
      <c r="AF8" s="9">
        <v>2</v>
      </c>
      <c r="AG8" s="9">
        <v>1</v>
      </c>
      <c r="AH8" s="9">
        <v>1</v>
      </c>
      <c r="AI8" s="9">
        <v>1</v>
      </c>
      <c r="AJ8" s="9">
        <v>0</v>
      </c>
      <c r="AK8" s="9">
        <v>2</v>
      </c>
      <c r="AL8" s="9">
        <v>0</v>
      </c>
      <c r="AM8" s="9">
        <v>1</v>
      </c>
      <c r="AN8" s="9">
        <v>2</v>
      </c>
      <c r="AO8" s="9">
        <v>1</v>
      </c>
      <c r="AP8" s="4">
        <f t="shared" si="5"/>
        <v>18.5</v>
      </c>
    </row>
    <row r="9" spans="1:42" x14ac:dyDescent="0.25">
      <c r="A9" s="26" t="s">
        <v>117</v>
      </c>
      <c r="B9" s="11" t="s">
        <v>50</v>
      </c>
      <c r="C9" s="12">
        <f t="shared" si="0"/>
        <v>156.5</v>
      </c>
      <c r="D9" s="12">
        <f t="shared" si="1"/>
        <v>300</v>
      </c>
      <c r="E9" s="13">
        <f t="shared" si="2"/>
        <v>0.52166666666666661</v>
      </c>
      <c r="F9" s="14">
        <f t="shared" si="3"/>
        <v>17</v>
      </c>
      <c r="H9" s="9">
        <v>13</v>
      </c>
      <c r="I9" s="9">
        <v>8.5</v>
      </c>
      <c r="J9" s="9">
        <v>7</v>
      </c>
      <c r="K9" s="9">
        <v>11</v>
      </c>
      <c r="L9" s="9">
        <v>12.5</v>
      </c>
      <c r="M9" s="9">
        <v>10.5</v>
      </c>
      <c r="N9" s="9">
        <v>11</v>
      </c>
      <c r="O9" s="9">
        <v>12</v>
      </c>
      <c r="P9" s="9">
        <v>10</v>
      </c>
      <c r="Q9" s="9">
        <v>9</v>
      </c>
      <c r="R9" s="9">
        <v>6</v>
      </c>
      <c r="S9" s="9">
        <v>13</v>
      </c>
      <c r="T9" s="9">
        <v>9</v>
      </c>
      <c r="U9" s="9">
        <v>11</v>
      </c>
      <c r="V9" s="9">
        <v>4</v>
      </c>
      <c r="W9" s="9">
        <v>9</v>
      </c>
      <c r="X9" s="4">
        <f t="shared" si="4"/>
        <v>156.5</v>
      </c>
      <c r="Z9" s="9">
        <v>1</v>
      </c>
      <c r="AA9" s="9">
        <v>0.5</v>
      </c>
      <c r="AB9" s="9">
        <v>1</v>
      </c>
      <c r="AC9" s="9">
        <v>1</v>
      </c>
      <c r="AD9" s="9">
        <v>1</v>
      </c>
      <c r="AE9" s="9">
        <v>0</v>
      </c>
      <c r="AF9" s="9">
        <v>2</v>
      </c>
      <c r="AG9" s="9">
        <v>1</v>
      </c>
      <c r="AH9" s="9">
        <v>0</v>
      </c>
      <c r="AI9" s="9">
        <v>0</v>
      </c>
      <c r="AJ9" s="9">
        <v>1</v>
      </c>
      <c r="AK9" s="9">
        <v>1.5</v>
      </c>
      <c r="AL9" s="9">
        <v>0</v>
      </c>
      <c r="AM9" s="9">
        <v>2</v>
      </c>
      <c r="AN9" s="9">
        <v>2</v>
      </c>
      <c r="AO9" s="9">
        <v>3</v>
      </c>
      <c r="AP9" s="4">
        <f t="shared" si="5"/>
        <v>17</v>
      </c>
    </row>
    <row r="10" spans="1:42" x14ac:dyDescent="0.25">
      <c r="A10" s="26" t="s">
        <v>118</v>
      </c>
      <c r="B10" s="11" t="s">
        <v>45</v>
      </c>
      <c r="C10" s="12">
        <f t="shared" si="0"/>
        <v>155.5</v>
      </c>
      <c r="D10" s="12">
        <f t="shared" si="1"/>
        <v>300</v>
      </c>
      <c r="E10" s="13">
        <f t="shared" si="2"/>
        <v>0.51833333333333331</v>
      </c>
      <c r="F10" s="14">
        <f t="shared" si="3"/>
        <v>18.5</v>
      </c>
      <c r="H10" s="9">
        <v>11</v>
      </c>
      <c r="I10" s="9">
        <v>10.5</v>
      </c>
      <c r="J10" s="9">
        <v>8</v>
      </c>
      <c r="K10" s="9">
        <v>17</v>
      </c>
      <c r="L10" s="9">
        <v>12.5</v>
      </c>
      <c r="M10" s="9">
        <v>4.5</v>
      </c>
      <c r="N10" s="9">
        <v>11</v>
      </c>
      <c r="O10" s="9">
        <v>13</v>
      </c>
      <c r="P10" s="9">
        <v>9</v>
      </c>
      <c r="Q10" s="9">
        <v>10</v>
      </c>
      <c r="R10" s="9">
        <v>7</v>
      </c>
      <c r="S10" s="9">
        <v>11</v>
      </c>
      <c r="T10" s="9">
        <v>8</v>
      </c>
      <c r="U10" s="9">
        <v>11</v>
      </c>
      <c r="V10" s="9">
        <v>4</v>
      </c>
      <c r="W10" s="9">
        <v>8</v>
      </c>
      <c r="X10" s="4">
        <f t="shared" si="4"/>
        <v>155.5</v>
      </c>
      <c r="Z10" s="9">
        <v>1</v>
      </c>
      <c r="AA10" s="9">
        <v>2</v>
      </c>
      <c r="AB10" s="9">
        <v>2</v>
      </c>
      <c r="AC10" s="9">
        <v>2</v>
      </c>
      <c r="AD10" s="9">
        <v>1</v>
      </c>
      <c r="AE10" s="9">
        <v>0.5</v>
      </c>
      <c r="AF10" s="9">
        <v>1</v>
      </c>
      <c r="AG10" s="9">
        <v>0</v>
      </c>
      <c r="AH10" s="9">
        <v>0</v>
      </c>
      <c r="AI10" s="9">
        <v>1</v>
      </c>
      <c r="AJ10" s="9">
        <v>1</v>
      </c>
      <c r="AK10" s="9">
        <v>1</v>
      </c>
      <c r="AL10" s="9">
        <v>0</v>
      </c>
      <c r="AM10" s="9">
        <v>1</v>
      </c>
      <c r="AN10" s="9">
        <v>2</v>
      </c>
      <c r="AO10" s="9">
        <v>3</v>
      </c>
      <c r="AP10" s="4">
        <f t="shared" si="5"/>
        <v>18.5</v>
      </c>
    </row>
    <row r="11" spans="1:42" x14ac:dyDescent="0.25">
      <c r="A11" s="26" t="s">
        <v>119</v>
      </c>
      <c r="B11" s="11" t="s">
        <v>46</v>
      </c>
      <c r="C11" s="12">
        <f t="shared" si="0"/>
        <v>155.5</v>
      </c>
      <c r="D11" s="12">
        <f t="shared" si="1"/>
        <v>300</v>
      </c>
      <c r="E11" s="13">
        <f t="shared" si="2"/>
        <v>0.51833333333333331</v>
      </c>
      <c r="F11" s="14">
        <f t="shared" si="3"/>
        <v>17</v>
      </c>
      <c r="H11" s="9">
        <v>10</v>
      </c>
      <c r="I11" s="9">
        <v>12.5</v>
      </c>
      <c r="J11" s="9">
        <v>10</v>
      </c>
      <c r="K11" s="9">
        <v>8</v>
      </c>
      <c r="L11" s="9">
        <v>12.5</v>
      </c>
      <c r="M11" s="9">
        <v>10.5</v>
      </c>
      <c r="N11" s="9">
        <v>12</v>
      </c>
      <c r="O11" s="9">
        <v>11</v>
      </c>
      <c r="P11" s="9">
        <v>7</v>
      </c>
      <c r="Q11" s="9">
        <v>12</v>
      </c>
      <c r="R11" s="9">
        <v>10</v>
      </c>
      <c r="S11" s="9">
        <v>9</v>
      </c>
      <c r="T11" s="9">
        <v>11</v>
      </c>
      <c r="U11" s="9">
        <v>6</v>
      </c>
      <c r="V11" s="9">
        <v>6</v>
      </c>
      <c r="W11" s="9">
        <v>8</v>
      </c>
      <c r="X11" s="4">
        <f t="shared" si="4"/>
        <v>155.5</v>
      </c>
      <c r="Z11" s="9">
        <v>0</v>
      </c>
      <c r="AA11" s="9">
        <v>2</v>
      </c>
      <c r="AB11" s="9">
        <v>1</v>
      </c>
      <c r="AC11" s="9">
        <v>2</v>
      </c>
      <c r="AD11" s="9">
        <v>1</v>
      </c>
      <c r="AE11" s="9">
        <v>2</v>
      </c>
      <c r="AF11" s="9">
        <v>0</v>
      </c>
      <c r="AG11" s="9">
        <v>1</v>
      </c>
      <c r="AH11" s="9">
        <v>0</v>
      </c>
      <c r="AI11" s="9">
        <v>0</v>
      </c>
      <c r="AJ11" s="9">
        <v>2</v>
      </c>
      <c r="AK11" s="9">
        <v>2</v>
      </c>
      <c r="AL11" s="9">
        <v>1</v>
      </c>
      <c r="AM11" s="9">
        <v>0</v>
      </c>
      <c r="AN11" s="9">
        <v>2</v>
      </c>
      <c r="AO11" s="9">
        <v>1</v>
      </c>
      <c r="AP11" s="4">
        <f t="shared" si="5"/>
        <v>17</v>
      </c>
    </row>
    <row r="12" spans="1:42" x14ac:dyDescent="0.25">
      <c r="A12" s="26" t="s">
        <v>120</v>
      </c>
      <c r="B12" s="11" t="s">
        <v>43</v>
      </c>
      <c r="C12" s="12">
        <f t="shared" si="0"/>
        <v>154.5</v>
      </c>
      <c r="D12" s="12">
        <f t="shared" si="1"/>
        <v>300</v>
      </c>
      <c r="E12" s="13">
        <f t="shared" si="2"/>
        <v>0.51500000000000001</v>
      </c>
      <c r="F12" s="14">
        <f t="shared" si="3"/>
        <v>22</v>
      </c>
      <c r="H12" s="9">
        <v>11</v>
      </c>
      <c r="I12" s="9">
        <v>11.5</v>
      </c>
      <c r="J12" s="9">
        <v>8</v>
      </c>
      <c r="K12" s="9">
        <v>12</v>
      </c>
      <c r="L12" s="9">
        <v>9.5</v>
      </c>
      <c r="M12" s="9">
        <v>9.5</v>
      </c>
      <c r="N12" s="9">
        <v>8</v>
      </c>
      <c r="O12" s="9">
        <v>12</v>
      </c>
      <c r="P12" s="9">
        <v>11</v>
      </c>
      <c r="Q12" s="9">
        <v>10</v>
      </c>
      <c r="R12" s="9">
        <v>8</v>
      </c>
      <c r="S12" s="9">
        <v>14</v>
      </c>
      <c r="T12" s="9">
        <v>9</v>
      </c>
      <c r="U12" s="9">
        <v>10</v>
      </c>
      <c r="V12" s="9">
        <v>3</v>
      </c>
      <c r="W12" s="9">
        <v>8</v>
      </c>
      <c r="X12" s="4">
        <f t="shared" si="4"/>
        <v>154.5</v>
      </c>
      <c r="Z12" s="9">
        <v>2</v>
      </c>
      <c r="AA12" s="9">
        <v>1</v>
      </c>
      <c r="AB12" s="9">
        <v>2</v>
      </c>
      <c r="AC12" s="9">
        <v>1</v>
      </c>
      <c r="AD12" s="9">
        <v>0</v>
      </c>
      <c r="AE12" s="9">
        <v>1</v>
      </c>
      <c r="AF12" s="9">
        <v>1</v>
      </c>
      <c r="AG12" s="9">
        <v>1</v>
      </c>
      <c r="AH12" s="9">
        <v>2</v>
      </c>
      <c r="AI12" s="9">
        <v>0</v>
      </c>
      <c r="AJ12" s="9">
        <v>2</v>
      </c>
      <c r="AK12" s="9">
        <v>1</v>
      </c>
      <c r="AL12" s="9">
        <v>1</v>
      </c>
      <c r="AM12" s="9">
        <v>2</v>
      </c>
      <c r="AN12" s="9">
        <v>2</v>
      </c>
      <c r="AO12" s="9">
        <v>3</v>
      </c>
      <c r="AP12" s="4">
        <f t="shared" si="5"/>
        <v>22</v>
      </c>
    </row>
    <row r="13" spans="1:42" x14ac:dyDescent="0.25">
      <c r="A13" s="26" t="s">
        <v>121</v>
      </c>
      <c r="B13" s="11" t="s">
        <v>82</v>
      </c>
      <c r="C13" s="12">
        <f t="shared" si="0"/>
        <v>154.5</v>
      </c>
      <c r="D13" s="12">
        <f t="shared" si="1"/>
        <v>300</v>
      </c>
      <c r="E13" s="13">
        <f t="shared" si="2"/>
        <v>0.51500000000000001</v>
      </c>
      <c r="F13" s="14">
        <f t="shared" si="3"/>
        <v>20.5</v>
      </c>
      <c r="H13" s="9">
        <v>11</v>
      </c>
      <c r="I13" s="9">
        <v>14.5</v>
      </c>
      <c r="J13" s="9">
        <v>6</v>
      </c>
      <c r="K13" s="9">
        <v>10</v>
      </c>
      <c r="L13" s="9">
        <v>10.5</v>
      </c>
      <c r="M13" s="9">
        <v>11.5</v>
      </c>
      <c r="N13" s="9">
        <v>8</v>
      </c>
      <c r="O13" s="9">
        <v>11</v>
      </c>
      <c r="P13" s="9">
        <v>8</v>
      </c>
      <c r="Q13" s="9">
        <v>9</v>
      </c>
      <c r="R13" s="9">
        <v>12</v>
      </c>
      <c r="S13" s="9">
        <v>13</v>
      </c>
      <c r="T13" s="9">
        <v>9</v>
      </c>
      <c r="U13" s="9">
        <v>9</v>
      </c>
      <c r="V13" s="9">
        <v>5</v>
      </c>
      <c r="W13" s="9">
        <v>7</v>
      </c>
      <c r="X13" s="4">
        <f t="shared" si="4"/>
        <v>154.5</v>
      </c>
      <c r="Z13" s="9">
        <v>1</v>
      </c>
      <c r="AA13" s="9">
        <v>0.5</v>
      </c>
      <c r="AB13" s="9">
        <v>2</v>
      </c>
      <c r="AC13" s="9">
        <v>0</v>
      </c>
      <c r="AD13" s="9">
        <v>1</v>
      </c>
      <c r="AE13" s="9">
        <v>1</v>
      </c>
      <c r="AF13" s="9">
        <v>1</v>
      </c>
      <c r="AG13" s="9">
        <v>2</v>
      </c>
      <c r="AH13" s="9">
        <v>1</v>
      </c>
      <c r="AI13" s="9">
        <v>1</v>
      </c>
      <c r="AJ13" s="9">
        <v>1</v>
      </c>
      <c r="AK13" s="9">
        <v>2</v>
      </c>
      <c r="AL13" s="9">
        <v>2</v>
      </c>
      <c r="AM13" s="9">
        <v>1</v>
      </c>
      <c r="AN13" s="9">
        <v>1</v>
      </c>
      <c r="AO13" s="9">
        <v>3</v>
      </c>
      <c r="AP13" s="4">
        <f t="shared" si="5"/>
        <v>20.5</v>
      </c>
    </row>
    <row r="14" spans="1:42" x14ac:dyDescent="0.25">
      <c r="A14" s="26" t="s">
        <v>122</v>
      </c>
      <c r="B14" s="11" t="s">
        <v>52</v>
      </c>
      <c r="C14" s="12">
        <f t="shared" si="0"/>
        <v>154.5</v>
      </c>
      <c r="D14" s="12">
        <f t="shared" si="1"/>
        <v>300</v>
      </c>
      <c r="E14" s="13">
        <f t="shared" si="2"/>
        <v>0.51500000000000001</v>
      </c>
      <c r="F14" s="14">
        <f t="shared" si="3"/>
        <v>18.5</v>
      </c>
      <c r="H14" s="9">
        <v>11</v>
      </c>
      <c r="I14" s="9">
        <v>11.5</v>
      </c>
      <c r="J14" s="9">
        <v>9</v>
      </c>
      <c r="K14" s="9">
        <v>10</v>
      </c>
      <c r="L14" s="9">
        <v>11.5</v>
      </c>
      <c r="M14" s="9">
        <v>11.5</v>
      </c>
      <c r="N14" s="9">
        <v>12</v>
      </c>
      <c r="O14" s="9">
        <v>11</v>
      </c>
      <c r="P14" s="9">
        <v>9</v>
      </c>
      <c r="Q14" s="9">
        <v>10</v>
      </c>
      <c r="R14" s="9">
        <v>6</v>
      </c>
      <c r="S14" s="9">
        <v>12</v>
      </c>
      <c r="T14" s="9">
        <v>9</v>
      </c>
      <c r="U14" s="9">
        <v>11</v>
      </c>
      <c r="V14" s="9">
        <v>3</v>
      </c>
      <c r="W14" s="9">
        <v>7</v>
      </c>
      <c r="X14" s="4">
        <f t="shared" si="4"/>
        <v>154.5</v>
      </c>
      <c r="Z14" s="9">
        <v>2</v>
      </c>
      <c r="AA14" s="9">
        <v>1</v>
      </c>
      <c r="AB14" s="9">
        <v>1</v>
      </c>
      <c r="AC14" s="9">
        <v>0</v>
      </c>
      <c r="AD14" s="9">
        <v>1.5</v>
      </c>
      <c r="AE14" s="9">
        <v>1</v>
      </c>
      <c r="AF14" s="9">
        <v>2</v>
      </c>
      <c r="AG14" s="9">
        <v>1</v>
      </c>
      <c r="AH14" s="9">
        <v>0</v>
      </c>
      <c r="AI14" s="9">
        <v>1</v>
      </c>
      <c r="AJ14" s="9">
        <v>1</v>
      </c>
      <c r="AK14" s="9">
        <v>1</v>
      </c>
      <c r="AL14" s="9">
        <v>1</v>
      </c>
      <c r="AM14" s="9">
        <v>1</v>
      </c>
      <c r="AN14" s="9">
        <v>1</v>
      </c>
      <c r="AO14" s="9">
        <v>3</v>
      </c>
      <c r="AP14" s="4">
        <f t="shared" si="5"/>
        <v>18.5</v>
      </c>
    </row>
    <row r="15" spans="1:42" x14ac:dyDescent="0.25">
      <c r="A15" s="26" t="s">
        <v>123</v>
      </c>
      <c r="B15" s="11" t="s">
        <v>38</v>
      </c>
      <c r="C15" s="12">
        <f t="shared" si="0"/>
        <v>148.5</v>
      </c>
      <c r="D15" s="12">
        <f t="shared" si="1"/>
        <v>300</v>
      </c>
      <c r="E15" s="13">
        <f t="shared" si="2"/>
        <v>0.495</v>
      </c>
      <c r="F15" s="14">
        <f t="shared" si="3"/>
        <v>17.5</v>
      </c>
      <c r="H15" s="9">
        <v>11</v>
      </c>
      <c r="I15" s="9">
        <v>12.5</v>
      </c>
      <c r="J15" s="9">
        <v>10</v>
      </c>
      <c r="K15" s="9">
        <v>10</v>
      </c>
      <c r="L15" s="9">
        <v>10.5</v>
      </c>
      <c r="M15" s="9">
        <v>13.5</v>
      </c>
      <c r="N15" s="9">
        <v>9</v>
      </c>
      <c r="O15" s="9">
        <v>10</v>
      </c>
      <c r="P15" s="9">
        <v>10</v>
      </c>
      <c r="Q15" s="9">
        <v>9</v>
      </c>
      <c r="R15" s="9">
        <v>8</v>
      </c>
      <c r="S15" s="9">
        <v>12</v>
      </c>
      <c r="T15" s="9">
        <v>8</v>
      </c>
      <c r="U15" s="9">
        <v>7</v>
      </c>
      <c r="V15" s="9">
        <v>3</v>
      </c>
      <c r="W15" s="9">
        <v>5</v>
      </c>
      <c r="X15" s="4">
        <f t="shared" si="4"/>
        <v>148.5</v>
      </c>
      <c r="Z15" s="9">
        <v>1</v>
      </c>
      <c r="AA15" s="9">
        <v>1.5</v>
      </c>
      <c r="AB15" s="9">
        <v>1</v>
      </c>
      <c r="AC15" s="9">
        <v>1</v>
      </c>
      <c r="AD15" s="9">
        <v>0</v>
      </c>
      <c r="AE15" s="9">
        <v>1</v>
      </c>
      <c r="AF15" s="9">
        <v>2</v>
      </c>
      <c r="AG15" s="9">
        <v>0</v>
      </c>
      <c r="AH15" s="9">
        <v>0</v>
      </c>
      <c r="AI15" s="9">
        <v>2</v>
      </c>
      <c r="AJ15" s="9">
        <v>2</v>
      </c>
      <c r="AK15" s="9">
        <v>2</v>
      </c>
      <c r="AL15" s="9">
        <v>0</v>
      </c>
      <c r="AM15" s="9">
        <v>1</v>
      </c>
      <c r="AN15" s="9">
        <v>0</v>
      </c>
      <c r="AO15" s="9">
        <v>3</v>
      </c>
      <c r="AP15" s="4">
        <f t="shared" si="5"/>
        <v>17.5</v>
      </c>
    </row>
    <row r="16" spans="1:42" x14ac:dyDescent="0.25">
      <c r="A16" s="26" t="s">
        <v>124</v>
      </c>
      <c r="B16" s="11" t="s">
        <v>44</v>
      </c>
      <c r="C16" s="12">
        <f t="shared" si="0"/>
        <v>147.5</v>
      </c>
      <c r="D16" s="12">
        <f t="shared" si="1"/>
        <v>300</v>
      </c>
      <c r="E16" s="13">
        <f t="shared" si="2"/>
        <v>0.49166666666666664</v>
      </c>
      <c r="F16" s="14">
        <f t="shared" si="3"/>
        <v>17.5</v>
      </c>
      <c r="H16" s="9">
        <v>11</v>
      </c>
      <c r="I16" s="9">
        <v>7.5</v>
      </c>
      <c r="J16" s="9">
        <v>9</v>
      </c>
      <c r="K16" s="9">
        <v>9</v>
      </c>
      <c r="L16" s="9">
        <v>9.5</v>
      </c>
      <c r="M16" s="9">
        <v>8.5</v>
      </c>
      <c r="N16" s="9">
        <v>12</v>
      </c>
      <c r="O16" s="9">
        <v>11</v>
      </c>
      <c r="P16" s="9">
        <v>11</v>
      </c>
      <c r="Q16" s="9">
        <v>7</v>
      </c>
      <c r="R16" s="9">
        <v>13</v>
      </c>
      <c r="S16" s="9">
        <v>12</v>
      </c>
      <c r="T16" s="9">
        <v>11</v>
      </c>
      <c r="U16" s="9">
        <v>6</v>
      </c>
      <c r="V16" s="9">
        <v>5</v>
      </c>
      <c r="W16" s="9">
        <v>5</v>
      </c>
      <c r="X16" s="4">
        <f t="shared" si="4"/>
        <v>147.5</v>
      </c>
      <c r="Z16" s="9">
        <v>1</v>
      </c>
      <c r="AA16" s="9">
        <v>1</v>
      </c>
      <c r="AB16" s="9">
        <v>1</v>
      </c>
      <c r="AC16" s="9">
        <v>0</v>
      </c>
      <c r="AD16" s="9">
        <v>1</v>
      </c>
      <c r="AE16" s="9">
        <v>0</v>
      </c>
      <c r="AF16" s="9">
        <v>2</v>
      </c>
      <c r="AG16" s="9">
        <v>0</v>
      </c>
      <c r="AH16" s="9">
        <v>2</v>
      </c>
      <c r="AI16" s="9">
        <v>1</v>
      </c>
      <c r="AJ16" s="9">
        <v>2</v>
      </c>
      <c r="AK16" s="9">
        <v>0.5</v>
      </c>
      <c r="AL16" s="9">
        <v>2</v>
      </c>
      <c r="AM16" s="9">
        <v>1</v>
      </c>
      <c r="AN16" s="9">
        <v>2</v>
      </c>
      <c r="AO16" s="9">
        <v>1</v>
      </c>
      <c r="AP16" s="4">
        <f t="shared" si="5"/>
        <v>17.5</v>
      </c>
    </row>
    <row r="17" spans="1:42" x14ac:dyDescent="0.25">
      <c r="A17" s="26" t="s">
        <v>125</v>
      </c>
      <c r="B17" s="11" t="s">
        <v>78</v>
      </c>
      <c r="C17" s="12">
        <f t="shared" si="0"/>
        <v>146.5</v>
      </c>
      <c r="D17" s="12">
        <f t="shared" si="1"/>
        <v>300</v>
      </c>
      <c r="E17" s="13">
        <f t="shared" si="2"/>
        <v>0.48833333333333334</v>
      </c>
      <c r="F17" s="14">
        <f t="shared" si="3"/>
        <v>22.5</v>
      </c>
      <c r="H17" s="9">
        <v>11</v>
      </c>
      <c r="I17" s="9">
        <v>11.5</v>
      </c>
      <c r="J17" s="9">
        <v>8</v>
      </c>
      <c r="K17" s="9">
        <v>11</v>
      </c>
      <c r="L17" s="9">
        <v>10.5</v>
      </c>
      <c r="M17" s="9">
        <v>10.5</v>
      </c>
      <c r="N17" s="9">
        <v>11</v>
      </c>
      <c r="O17" s="9">
        <v>9</v>
      </c>
      <c r="P17" s="9">
        <v>7</v>
      </c>
      <c r="Q17" s="9">
        <v>8</v>
      </c>
      <c r="R17" s="9">
        <v>4</v>
      </c>
      <c r="S17" s="9">
        <v>14</v>
      </c>
      <c r="T17" s="9">
        <v>9</v>
      </c>
      <c r="U17" s="9">
        <v>10</v>
      </c>
      <c r="V17" s="9">
        <v>4</v>
      </c>
      <c r="W17" s="9">
        <v>8</v>
      </c>
      <c r="X17" s="4">
        <f t="shared" si="4"/>
        <v>146.5</v>
      </c>
      <c r="Z17" s="9">
        <v>2</v>
      </c>
      <c r="AA17" s="9">
        <v>2</v>
      </c>
      <c r="AB17" s="9">
        <v>2</v>
      </c>
      <c r="AC17" s="9">
        <v>2</v>
      </c>
      <c r="AD17" s="9">
        <v>0</v>
      </c>
      <c r="AE17" s="9">
        <v>2</v>
      </c>
      <c r="AF17" s="9">
        <v>1</v>
      </c>
      <c r="AG17" s="9">
        <v>0</v>
      </c>
      <c r="AH17" s="9">
        <v>2</v>
      </c>
      <c r="AI17" s="9">
        <v>0</v>
      </c>
      <c r="AJ17" s="9">
        <v>0</v>
      </c>
      <c r="AK17" s="9">
        <v>1.5</v>
      </c>
      <c r="AL17" s="9">
        <v>2</v>
      </c>
      <c r="AM17" s="9">
        <v>1</v>
      </c>
      <c r="AN17" s="9">
        <v>2</v>
      </c>
      <c r="AO17" s="9">
        <v>3</v>
      </c>
      <c r="AP17" s="4">
        <f t="shared" si="5"/>
        <v>22.5</v>
      </c>
    </row>
    <row r="18" spans="1:42" x14ac:dyDescent="0.25">
      <c r="A18" s="26" t="s">
        <v>126</v>
      </c>
      <c r="B18" s="11" t="s">
        <v>39</v>
      </c>
      <c r="C18" s="12">
        <f t="shared" si="0"/>
        <v>145.5</v>
      </c>
      <c r="D18" s="12">
        <f t="shared" si="1"/>
        <v>300</v>
      </c>
      <c r="E18" s="13">
        <f t="shared" si="2"/>
        <v>0.48499999999999999</v>
      </c>
      <c r="F18" s="14">
        <f t="shared" si="3"/>
        <v>18</v>
      </c>
      <c r="H18" s="9">
        <v>11</v>
      </c>
      <c r="I18" s="9">
        <v>13.5</v>
      </c>
      <c r="J18" s="9">
        <v>5</v>
      </c>
      <c r="K18" s="9">
        <v>8</v>
      </c>
      <c r="L18" s="9">
        <v>10.5</v>
      </c>
      <c r="M18" s="9">
        <v>11.5</v>
      </c>
      <c r="N18" s="9">
        <v>9</v>
      </c>
      <c r="O18" s="9">
        <v>11</v>
      </c>
      <c r="P18" s="9">
        <v>8</v>
      </c>
      <c r="Q18" s="9">
        <v>12</v>
      </c>
      <c r="R18" s="9">
        <v>8</v>
      </c>
      <c r="S18" s="9">
        <v>8</v>
      </c>
      <c r="T18" s="9">
        <v>9</v>
      </c>
      <c r="U18" s="9">
        <v>10</v>
      </c>
      <c r="V18" s="9">
        <v>4</v>
      </c>
      <c r="W18" s="9">
        <v>7</v>
      </c>
      <c r="X18" s="4">
        <f t="shared" si="4"/>
        <v>145.5</v>
      </c>
      <c r="Z18" s="9">
        <v>2</v>
      </c>
      <c r="AA18" s="9">
        <v>1</v>
      </c>
      <c r="AB18" s="9">
        <v>0</v>
      </c>
      <c r="AC18" s="9">
        <v>1</v>
      </c>
      <c r="AD18" s="9">
        <v>0</v>
      </c>
      <c r="AE18" s="9">
        <v>0</v>
      </c>
      <c r="AF18" s="9">
        <v>1</v>
      </c>
      <c r="AG18" s="9">
        <v>2</v>
      </c>
      <c r="AH18" s="9">
        <v>0</v>
      </c>
      <c r="AI18" s="9">
        <v>2</v>
      </c>
      <c r="AJ18" s="9">
        <v>2</v>
      </c>
      <c r="AK18" s="9">
        <v>2</v>
      </c>
      <c r="AL18" s="9">
        <v>1</v>
      </c>
      <c r="AM18" s="9">
        <v>1</v>
      </c>
      <c r="AN18" s="9">
        <v>1</v>
      </c>
      <c r="AO18" s="9">
        <v>2</v>
      </c>
      <c r="AP18" s="4">
        <f t="shared" si="5"/>
        <v>18</v>
      </c>
    </row>
    <row r="19" spans="1:42" x14ac:dyDescent="0.25">
      <c r="A19" s="26" t="s">
        <v>127</v>
      </c>
      <c r="B19" s="11" t="s">
        <v>59</v>
      </c>
      <c r="C19" s="12">
        <f t="shared" si="0"/>
        <v>144.5</v>
      </c>
      <c r="D19" s="12">
        <f t="shared" si="1"/>
        <v>300</v>
      </c>
      <c r="E19" s="13">
        <f t="shared" si="2"/>
        <v>0.48166666666666669</v>
      </c>
      <c r="F19" s="14">
        <f t="shared" si="3"/>
        <v>20</v>
      </c>
      <c r="H19" s="9">
        <v>11</v>
      </c>
      <c r="I19" s="9">
        <v>9.5</v>
      </c>
      <c r="J19" s="9">
        <v>8</v>
      </c>
      <c r="K19" s="9">
        <v>11</v>
      </c>
      <c r="L19" s="9">
        <v>8.5</v>
      </c>
      <c r="M19" s="9">
        <v>11.5</v>
      </c>
      <c r="N19" s="9">
        <v>10</v>
      </c>
      <c r="O19" s="9">
        <v>10</v>
      </c>
      <c r="P19" s="9">
        <v>7</v>
      </c>
      <c r="Q19" s="9">
        <v>9</v>
      </c>
      <c r="R19" s="9">
        <v>11</v>
      </c>
      <c r="S19" s="9">
        <v>12</v>
      </c>
      <c r="T19" s="9">
        <v>8</v>
      </c>
      <c r="U19" s="9">
        <v>8</v>
      </c>
      <c r="V19" s="9">
        <v>4</v>
      </c>
      <c r="W19" s="9">
        <v>6</v>
      </c>
      <c r="X19" s="4">
        <f t="shared" si="4"/>
        <v>144.5</v>
      </c>
      <c r="Z19" s="9">
        <v>2</v>
      </c>
      <c r="AA19" s="9">
        <v>2</v>
      </c>
      <c r="AB19" s="9">
        <v>1</v>
      </c>
      <c r="AC19" s="9">
        <v>2</v>
      </c>
      <c r="AD19" s="9">
        <v>1</v>
      </c>
      <c r="AE19" s="9">
        <v>1</v>
      </c>
      <c r="AF19" s="9">
        <v>1</v>
      </c>
      <c r="AG19" s="9">
        <v>2</v>
      </c>
      <c r="AH19" s="9">
        <v>1</v>
      </c>
      <c r="AI19" s="9">
        <v>1</v>
      </c>
      <c r="AJ19" s="9">
        <v>1</v>
      </c>
      <c r="AK19" s="9">
        <v>2</v>
      </c>
      <c r="AL19" s="9">
        <v>1</v>
      </c>
      <c r="AM19" s="9">
        <v>0</v>
      </c>
      <c r="AN19" s="9">
        <v>1</v>
      </c>
      <c r="AO19" s="9">
        <v>1</v>
      </c>
      <c r="AP19" s="4">
        <f t="shared" si="5"/>
        <v>20</v>
      </c>
    </row>
    <row r="20" spans="1:42" x14ac:dyDescent="0.25">
      <c r="A20" s="26" t="s">
        <v>128</v>
      </c>
      <c r="B20" s="11" t="s">
        <v>36</v>
      </c>
      <c r="C20" s="12">
        <f t="shared" si="0"/>
        <v>143.5</v>
      </c>
      <c r="D20" s="12">
        <f t="shared" si="1"/>
        <v>300</v>
      </c>
      <c r="E20" s="13">
        <f t="shared" si="2"/>
        <v>0.47833333333333333</v>
      </c>
      <c r="F20" s="14">
        <f t="shared" si="3"/>
        <v>17</v>
      </c>
      <c r="H20" s="9">
        <v>9</v>
      </c>
      <c r="I20" s="9">
        <v>11.5</v>
      </c>
      <c r="J20" s="9">
        <v>6</v>
      </c>
      <c r="K20" s="9">
        <v>9</v>
      </c>
      <c r="L20" s="9">
        <v>11.5</v>
      </c>
      <c r="M20" s="9">
        <v>8.5</v>
      </c>
      <c r="N20" s="9">
        <v>11</v>
      </c>
      <c r="O20" s="9">
        <v>11</v>
      </c>
      <c r="P20" s="9">
        <v>8</v>
      </c>
      <c r="Q20" s="9">
        <v>11</v>
      </c>
      <c r="R20" s="9">
        <v>7</v>
      </c>
      <c r="S20" s="9">
        <v>13</v>
      </c>
      <c r="T20" s="9">
        <v>7</v>
      </c>
      <c r="U20" s="9">
        <v>10</v>
      </c>
      <c r="V20" s="9">
        <v>3</v>
      </c>
      <c r="W20" s="9">
        <v>7</v>
      </c>
      <c r="X20" s="4">
        <f t="shared" si="4"/>
        <v>143.5</v>
      </c>
      <c r="Z20" s="9">
        <v>1</v>
      </c>
      <c r="AA20" s="9">
        <v>2</v>
      </c>
      <c r="AB20" s="9">
        <v>0</v>
      </c>
      <c r="AC20" s="9">
        <v>1</v>
      </c>
      <c r="AD20" s="9">
        <v>1</v>
      </c>
      <c r="AE20" s="9">
        <v>1.5</v>
      </c>
      <c r="AF20" s="9">
        <v>2</v>
      </c>
      <c r="AG20" s="9">
        <v>0</v>
      </c>
      <c r="AH20" s="9">
        <v>1</v>
      </c>
      <c r="AI20" s="9">
        <v>1</v>
      </c>
      <c r="AJ20" s="9">
        <v>1</v>
      </c>
      <c r="AK20" s="9">
        <v>1.5</v>
      </c>
      <c r="AL20" s="9">
        <v>0</v>
      </c>
      <c r="AM20" s="9">
        <v>1</v>
      </c>
      <c r="AN20" s="9">
        <v>2</v>
      </c>
      <c r="AO20" s="9">
        <v>1</v>
      </c>
      <c r="AP20" s="4">
        <f t="shared" si="5"/>
        <v>17</v>
      </c>
    </row>
    <row r="21" spans="1:42" x14ac:dyDescent="0.25">
      <c r="A21" s="26" t="s">
        <v>129</v>
      </c>
      <c r="B21" s="11" t="s">
        <v>40</v>
      </c>
      <c r="C21" s="12">
        <f t="shared" si="0"/>
        <v>141.5</v>
      </c>
      <c r="D21" s="12">
        <f t="shared" si="1"/>
        <v>300</v>
      </c>
      <c r="E21" s="13">
        <f t="shared" si="2"/>
        <v>0.47166666666666668</v>
      </c>
      <c r="F21" s="14">
        <f t="shared" si="3"/>
        <v>18.5</v>
      </c>
      <c r="H21" s="9">
        <v>5</v>
      </c>
      <c r="I21" s="9">
        <v>9.5</v>
      </c>
      <c r="J21" s="9">
        <v>8</v>
      </c>
      <c r="K21" s="9">
        <v>12</v>
      </c>
      <c r="L21" s="9">
        <v>11.5</v>
      </c>
      <c r="M21" s="9">
        <v>11.5</v>
      </c>
      <c r="N21" s="9">
        <v>5</v>
      </c>
      <c r="O21" s="9">
        <v>9</v>
      </c>
      <c r="P21" s="9">
        <v>10</v>
      </c>
      <c r="Q21" s="9">
        <v>8</v>
      </c>
      <c r="R21" s="9">
        <v>5</v>
      </c>
      <c r="S21" s="9">
        <v>11</v>
      </c>
      <c r="T21" s="9">
        <v>11</v>
      </c>
      <c r="U21" s="9">
        <v>11</v>
      </c>
      <c r="V21" s="9">
        <v>4</v>
      </c>
      <c r="W21" s="9">
        <v>10</v>
      </c>
      <c r="X21" s="4">
        <f t="shared" si="4"/>
        <v>141.5</v>
      </c>
      <c r="Z21" s="9">
        <v>1</v>
      </c>
      <c r="AA21" s="9">
        <v>0.5</v>
      </c>
      <c r="AB21" s="9">
        <v>1</v>
      </c>
      <c r="AC21" s="9">
        <v>1</v>
      </c>
      <c r="AD21" s="9">
        <v>1</v>
      </c>
      <c r="AE21" s="9">
        <v>2</v>
      </c>
      <c r="AF21" s="9">
        <v>1</v>
      </c>
      <c r="AG21" s="9">
        <v>0</v>
      </c>
      <c r="AH21" s="9">
        <v>1</v>
      </c>
      <c r="AI21" s="9">
        <v>0</v>
      </c>
      <c r="AJ21" s="9">
        <v>1</v>
      </c>
      <c r="AK21" s="9">
        <v>1</v>
      </c>
      <c r="AL21" s="9">
        <v>1</v>
      </c>
      <c r="AM21" s="9">
        <v>1</v>
      </c>
      <c r="AN21" s="9">
        <v>2</v>
      </c>
      <c r="AO21" s="9">
        <v>4</v>
      </c>
      <c r="AP21" s="4">
        <f t="shared" si="5"/>
        <v>18.5</v>
      </c>
    </row>
    <row r="22" spans="1:42" x14ac:dyDescent="0.25">
      <c r="A22" s="26" t="s">
        <v>130</v>
      </c>
      <c r="B22" s="11" t="s">
        <v>60</v>
      </c>
      <c r="C22" s="12">
        <f t="shared" si="0"/>
        <v>140.5</v>
      </c>
      <c r="D22" s="12">
        <f t="shared" si="1"/>
        <v>300</v>
      </c>
      <c r="E22" s="13">
        <f t="shared" si="2"/>
        <v>0.46833333333333332</v>
      </c>
      <c r="F22" s="14">
        <f t="shared" si="3"/>
        <v>16.5</v>
      </c>
      <c r="H22" s="9">
        <v>8</v>
      </c>
      <c r="I22" s="9">
        <v>10.5</v>
      </c>
      <c r="J22" s="9">
        <v>8</v>
      </c>
      <c r="K22" s="9">
        <v>8</v>
      </c>
      <c r="L22" s="9">
        <v>7.5</v>
      </c>
      <c r="M22" s="9">
        <v>7.5</v>
      </c>
      <c r="N22" s="9">
        <v>5</v>
      </c>
      <c r="O22" s="9">
        <v>11</v>
      </c>
      <c r="P22" s="9">
        <v>10</v>
      </c>
      <c r="Q22" s="9">
        <v>9</v>
      </c>
      <c r="R22" s="9">
        <v>10</v>
      </c>
      <c r="S22" s="9">
        <v>16</v>
      </c>
      <c r="T22" s="9">
        <v>11</v>
      </c>
      <c r="U22" s="9">
        <v>5</v>
      </c>
      <c r="V22" s="9">
        <v>6</v>
      </c>
      <c r="W22" s="9">
        <v>8</v>
      </c>
      <c r="X22" s="4">
        <f t="shared" si="4"/>
        <v>140.5</v>
      </c>
      <c r="Z22" s="9">
        <v>2</v>
      </c>
      <c r="AA22" s="9">
        <v>1</v>
      </c>
      <c r="AB22" s="9">
        <v>0</v>
      </c>
      <c r="AC22" s="9">
        <v>0</v>
      </c>
      <c r="AD22" s="9">
        <v>0</v>
      </c>
      <c r="AE22" s="9">
        <v>0</v>
      </c>
      <c r="AF22" s="9">
        <v>1</v>
      </c>
      <c r="AG22" s="9">
        <v>1</v>
      </c>
      <c r="AH22" s="9">
        <v>1</v>
      </c>
      <c r="AI22" s="9">
        <v>1</v>
      </c>
      <c r="AJ22" s="9">
        <v>2</v>
      </c>
      <c r="AK22" s="9">
        <v>1.5</v>
      </c>
      <c r="AL22" s="9">
        <v>0</v>
      </c>
      <c r="AM22" s="9">
        <v>1</v>
      </c>
      <c r="AN22" s="9">
        <v>2</v>
      </c>
      <c r="AO22" s="9">
        <v>3</v>
      </c>
      <c r="AP22" s="4">
        <f t="shared" si="5"/>
        <v>16.5</v>
      </c>
    </row>
    <row r="23" spans="1:42" x14ac:dyDescent="0.25">
      <c r="A23" s="26" t="s">
        <v>131</v>
      </c>
      <c r="B23" s="11" t="s">
        <v>55</v>
      </c>
      <c r="C23" s="12">
        <f t="shared" si="0"/>
        <v>138.5</v>
      </c>
      <c r="D23" s="12">
        <f t="shared" si="1"/>
        <v>300</v>
      </c>
      <c r="E23" s="13">
        <f t="shared" si="2"/>
        <v>0.46166666666666667</v>
      </c>
      <c r="F23" s="14">
        <f t="shared" si="3"/>
        <v>21</v>
      </c>
      <c r="H23" s="9">
        <v>8</v>
      </c>
      <c r="I23" s="9">
        <v>11.5</v>
      </c>
      <c r="J23" s="9">
        <v>10</v>
      </c>
      <c r="K23" s="9">
        <v>13</v>
      </c>
      <c r="L23" s="9">
        <v>11.5</v>
      </c>
      <c r="M23" s="9">
        <v>8.5</v>
      </c>
      <c r="N23" s="9">
        <v>10</v>
      </c>
      <c r="O23" s="9">
        <v>6</v>
      </c>
      <c r="P23" s="9">
        <v>8</v>
      </c>
      <c r="Q23" s="9">
        <v>9</v>
      </c>
      <c r="R23" s="9">
        <v>9</v>
      </c>
      <c r="S23" s="9">
        <v>9</v>
      </c>
      <c r="T23" s="9">
        <v>7</v>
      </c>
      <c r="U23" s="9">
        <v>9</v>
      </c>
      <c r="V23" s="9">
        <v>2</v>
      </c>
      <c r="W23" s="9">
        <v>7</v>
      </c>
      <c r="X23" s="4">
        <f t="shared" si="4"/>
        <v>138.5</v>
      </c>
      <c r="Z23" s="9">
        <v>2</v>
      </c>
      <c r="AA23" s="9">
        <v>1</v>
      </c>
      <c r="AB23" s="9">
        <v>2</v>
      </c>
      <c r="AC23" s="9">
        <v>2</v>
      </c>
      <c r="AD23" s="9">
        <v>2</v>
      </c>
      <c r="AE23" s="9">
        <v>1</v>
      </c>
      <c r="AF23" s="9">
        <v>2</v>
      </c>
      <c r="AG23" s="9">
        <v>1</v>
      </c>
      <c r="AH23" s="9">
        <v>0</v>
      </c>
      <c r="AI23" s="9">
        <v>0</v>
      </c>
      <c r="AJ23" s="9">
        <v>1</v>
      </c>
      <c r="AK23" s="9">
        <v>1</v>
      </c>
      <c r="AL23" s="9">
        <v>1</v>
      </c>
      <c r="AM23" s="9">
        <v>2</v>
      </c>
      <c r="AN23" s="9">
        <v>1</v>
      </c>
      <c r="AO23" s="9">
        <v>2</v>
      </c>
      <c r="AP23" s="4">
        <f t="shared" si="5"/>
        <v>21</v>
      </c>
    </row>
    <row r="24" spans="1:42" x14ac:dyDescent="0.25">
      <c r="A24" s="26" t="s">
        <v>132</v>
      </c>
      <c r="B24" s="11" t="s">
        <v>56</v>
      </c>
      <c r="C24" s="12">
        <f t="shared" si="0"/>
        <v>133.5</v>
      </c>
      <c r="D24" s="12">
        <f t="shared" si="1"/>
        <v>300</v>
      </c>
      <c r="E24" s="13">
        <f t="shared" si="2"/>
        <v>0.44500000000000001</v>
      </c>
      <c r="F24" s="14">
        <f t="shared" si="3"/>
        <v>13.5</v>
      </c>
      <c r="H24" s="9">
        <v>10</v>
      </c>
      <c r="I24" s="9">
        <v>12.5</v>
      </c>
      <c r="J24" s="9">
        <v>4</v>
      </c>
      <c r="K24" s="9">
        <v>14</v>
      </c>
      <c r="L24" s="9">
        <v>10.5</v>
      </c>
      <c r="M24" s="9">
        <v>9.5</v>
      </c>
      <c r="N24" s="9">
        <v>8</v>
      </c>
      <c r="O24" s="9">
        <v>11</v>
      </c>
      <c r="P24" s="9">
        <v>5</v>
      </c>
      <c r="Q24" s="9">
        <v>9</v>
      </c>
      <c r="R24" s="9">
        <v>10</v>
      </c>
      <c r="S24" s="9">
        <v>12</v>
      </c>
      <c r="T24" s="9">
        <v>7</v>
      </c>
      <c r="U24" s="9">
        <v>7</v>
      </c>
      <c r="V24" s="9">
        <v>1</v>
      </c>
      <c r="W24" s="9">
        <v>3</v>
      </c>
      <c r="X24" s="4">
        <f t="shared" si="4"/>
        <v>133.5</v>
      </c>
      <c r="Z24" s="9">
        <v>1</v>
      </c>
      <c r="AA24" s="9">
        <v>2</v>
      </c>
      <c r="AB24" s="9">
        <v>0</v>
      </c>
      <c r="AC24" s="9">
        <v>1</v>
      </c>
      <c r="AD24" s="9">
        <v>1</v>
      </c>
      <c r="AE24" s="9">
        <v>1</v>
      </c>
      <c r="AF24" s="9">
        <v>2</v>
      </c>
      <c r="AG24" s="9">
        <v>0</v>
      </c>
      <c r="AH24" s="9">
        <v>1</v>
      </c>
      <c r="AI24" s="9">
        <v>1</v>
      </c>
      <c r="AJ24" s="9">
        <v>1</v>
      </c>
      <c r="AK24" s="9">
        <v>1.5</v>
      </c>
      <c r="AL24" s="9">
        <v>0</v>
      </c>
      <c r="AM24" s="9">
        <v>1</v>
      </c>
      <c r="AN24" s="9">
        <v>0</v>
      </c>
      <c r="AO24" s="9">
        <v>0</v>
      </c>
      <c r="AP24" s="4">
        <f t="shared" si="5"/>
        <v>13.5</v>
      </c>
    </row>
    <row r="25" spans="1:42" x14ac:dyDescent="0.25">
      <c r="A25" s="26" t="s">
        <v>133</v>
      </c>
      <c r="B25" s="11" t="s">
        <v>47</v>
      </c>
      <c r="C25" s="12">
        <f t="shared" si="0"/>
        <v>125.5</v>
      </c>
      <c r="D25" s="12">
        <f t="shared" si="1"/>
        <v>300</v>
      </c>
      <c r="E25" s="13">
        <f t="shared" si="2"/>
        <v>0.41833333333333333</v>
      </c>
      <c r="F25" s="14">
        <f t="shared" si="3"/>
        <v>13</v>
      </c>
      <c r="H25" s="9">
        <v>4</v>
      </c>
      <c r="I25" s="9">
        <v>10.5</v>
      </c>
      <c r="J25" s="9">
        <v>8</v>
      </c>
      <c r="K25" s="9">
        <v>5</v>
      </c>
      <c r="L25" s="9">
        <v>10.5</v>
      </c>
      <c r="M25" s="9">
        <v>9.5</v>
      </c>
      <c r="N25" s="9">
        <v>9</v>
      </c>
      <c r="O25" s="9">
        <v>10</v>
      </c>
      <c r="P25" s="9">
        <v>13</v>
      </c>
      <c r="Q25" s="9">
        <v>9</v>
      </c>
      <c r="R25" s="9">
        <v>4</v>
      </c>
      <c r="S25" s="9">
        <v>7</v>
      </c>
      <c r="T25" s="9">
        <v>9</v>
      </c>
      <c r="U25" s="9">
        <v>11</v>
      </c>
      <c r="V25" s="9">
        <v>4</v>
      </c>
      <c r="W25" s="9">
        <v>2</v>
      </c>
      <c r="X25" s="4">
        <f t="shared" si="4"/>
        <v>125.5</v>
      </c>
      <c r="Z25" s="9">
        <v>0</v>
      </c>
      <c r="AA25" s="9">
        <v>1</v>
      </c>
      <c r="AB25" s="9">
        <v>2</v>
      </c>
      <c r="AC25" s="9">
        <v>1</v>
      </c>
      <c r="AD25" s="9">
        <v>1</v>
      </c>
      <c r="AE25" s="9">
        <v>1</v>
      </c>
      <c r="AF25" s="9">
        <v>1</v>
      </c>
      <c r="AG25" s="9">
        <v>2</v>
      </c>
      <c r="AH25" s="9">
        <v>0</v>
      </c>
      <c r="AI25" s="9">
        <v>1</v>
      </c>
      <c r="AJ25" s="9">
        <v>0</v>
      </c>
      <c r="AK25" s="9">
        <v>0</v>
      </c>
      <c r="AL25" s="9">
        <v>0</v>
      </c>
      <c r="AM25" s="9">
        <v>2</v>
      </c>
      <c r="AN25" s="9">
        <v>1</v>
      </c>
      <c r="AO25" s="9">
        <v>0</v>
      </c>
      <c r="AP25" s="4">
        <f t="shared" si="5"/>
        <v>13</v>
      </c>
    </row>
    <row r="26" spans="1:42" x14ac:dyDescent="0.25">
      <c r="A26" s="26"/>
      <c r="B26" s="27"/>
      <c r="C26" s="17"/>
      <c r="D26" s="17"/>
      <c r="E26" s="18"/>
      <c r="F26" s="19"/>
      <c r="H26" s="31"/>
      <c r="I26" s="31"/>
      <c r="J26" s="15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/>
      <c r="Y26" s="31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32"/>
    </row>
    <row r="27" spans="1:42" ht="15.75" thickBot="1" x14ac:dyDescent="0.3">
      <c r="A27" s="26"/>
      <c r="B27" s="20" t="s">
        <v>106</v>
      </c>
      <c r="C27" s="21">
        <f>X27</f>
        <v>153.5</v>
      </c>
      <c r="D27" s="21">
        <f>$X$28</f>
        <v>300</v>
      </c>
      <c r="E27" s="22">
        <f>C27/D27</f>
        <v>0.51166666666666671</v>
      </c>
      <c r="F27" s="23">
        <f>AP27</f>
        <v>23.5</v>
      </c>
      <c r="H27" s="9">
        <v>10.5</v>
      </c>
      <c r="I27" s="9">
        <v>13.5</v>
      </c>
      <c r="J27" s="9">
        <v>8</v>
      </c>
      <c r="K27" s="9">
        <v>13</v>
      </c>
      <c r="L27" s="9">
        <v>11</v>
      </c>
      <c r="M27" s="9">
        <v>9.5</v>
      </c>
      <c r="N27" s="9">
        <v>12</v>
      </c>
      <c r="O27" s="9">
        <v>8</v>
      </c>
      <c r="P27" s="9">
        <v>9</v>
      </c>
      <c r="Q27" s="9">
        <v>8</v>
      </c>
      <c r="R27" s="9">
        <v>7</v>
      </c>
      <c r="S27" s="9">
        <v>13.5</v>
      </c>
      <c r="T27" s="9">
        <v>8</v>
      </c>
      <c r="U27" s="9">
        <v>10</v>
      </c>
      <c r="V27" s="9">
        <v>3.5</v>
      </c>
      <c r="W27" s="9">
        <v>9</v>
      </c>
      <c r="X27" s="4">
        <f>SUM(H27:W27)</f>
        <v>153.5</v>
      </c>
      <c r="Z27" s="9">
        <v>2</v>
      </c>
      <c r="AA27" s="9">
        <v>1.5</v>
      </c>
      <c r="AB27" s="9">
        <v>2</v>
      </c>
      <c r="AC27" s="9">
        <v>2</v>
      </c>
      <c r="AD27" s="9">
        <v>0</v>
      </c>
      <c r="AE27" s="9">
        <v>1</v>
      </c>
      <c r="AF27" s="9">
        <v>2</v>
      </c>
      <c r="AG27" s="9">
        <v>0</v>
      </c>
      <c r="AH27" s="9">
        <v>1</v>
      </c>
      <c r="AI27" s="9">
        <v>1</v>
      </c>
      <c r="AJ27" s="9">
        <v>2</v>
      </c>
      <c r="AK27" s="9">
        <v>2</v>
      </c>
      <c r="AL27" s="9">
        <v>0</v>
      </c>
      <c r="AM27" s="9">
        <v>1</v>
      </c>
      <c r="AN27" s="9">
        <v>2</v>
      </c>
      <c r="AO27" s="9">
        <v>4</v>
      </c>
      <c r="AP27" s="4">
        <f>SUM(Z27:AO27)</f>
        <v>23.5</v>
      </c>
    </row>
    <row r="28" spans="1:42" x14ac:dyDescent="0.25">
      <c r="A28" s="28"/>
      <c r="C28" s="9"/>
      <c r="D28" s="9"/>
      <c r="E28" s="9"/>
      <c r="F28" s="9"/>
      <c r="H28" s="9">
        <v>20</v>
      </c>
      <c r="I28" s="9">
        <v>20</v>
      </c>
      <c r="J28" s="9">
        <v>20</v>
      </c>
      <c r="K28" s="9">
        <v>20</v>
      </c>
      <c r="L28" s="9">
        <v>20</v>
      </c>
      <c r="M28" s="9">
        <v>20</v>
      </c>
      <c r="N28" s="9">
        <v>20</v>
      </c>
      <c r="O28" s="9">
        <v>20</v>
      </c>
      <c r="P28" s="9">
        <v>20</v>
      </c>
      <c r="Q28" s="9">
        <v>20</v>
      </c>
      <c r="R28" s="9">
        <v>20</v>
      </c>
      <c r="S28" s="9">
        <v>20</v>
      </c>
      <c r="T28" s="9">
        <v>20</v>
      </c>
      <c r="U28" s="9">
        <v>20</v>
      </c>
      <c r="V28" s="9">
        <v>7</v>
      </c>
      <c r="W28" s="9">
        <v>13</v>
      </c>
      <c r="X28" s="29">
        <f>SUM(H28:W28)</f>
        <v>300</v>
      </c>
      <c r="AP28" s="4"/>
    </row>
    <row r="29" spans="1:42" x14ac:dyDescent="0.25">
      <c r="A29" s="28"/>
      <c r="C29" s="9"/>
      <c r="D29" s="9"/>
      <c r="E29" s="9"/>
      <c r="F29" s="9"/>
      <c r="H29" s="9"/>
      <c r="I29" s="9"/>
      <c r="J29" s="9"/>
      <c r="K29" s="9"/>
      <c r="L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AP29" s="4"/>
    </row>
    <row r="30" spans="1:42" x14ac:dyDescent="0.25">
      <c r="A30" s="28"/>
      <c r="B30" s="25" t="s">
        <v>64</v>
      </c>
      <c r="C30" s="12">
        <f>X30</f>
        <v>160.5</v>
      </c>
      <c r="D30" s="12">
        <f>$X$28</f>
        <v>300</v>
      </c>
      <c r="E30" s="13">
        <f>C30/D30</f>
        <v>0.53500000000000003</v>
      </c>
      <c r="F30" s="12">
        <f>AP30</f>
        <v>0</v>
      </c>
      <c r="H30" s="9">
        <v>11</v>
      </c>
      <c r="I30" s="9">
        <v>13.5</v>
      </c>
      <c r="J30" s="9">
        <v>8</v>
      </c>
      <c r="K30" s="9">
        <v>11</v>
      </c>
      <c r="L30" s="9">
        <v>11.5</v>
      </c>
      <c r="M30" s="9">
        <v>10.5</v>
      </c>
      <c r="N30" s="9">
        <v>12</v>
      </c>
      <c r="O30" s="9">
        <v>11</v>
      </c>
      <c r="P30" s="9">
        <v>11</v>
      </c>
      <c r="Q30" s="9">
        <v>10</v>
      </c>
      <c r="R30" s="9">
        <v>7</v>
      </c>
      <c r="S30" s="9">
        <v>13</v>
      </c>
      <c r="T30" s="9">
        <v>9</v>
      </c>
      <c r="U30" s="9">
        <v>11</v>
      </c>
      <c r="V30" s="9">
        <v>3</v>
      </c>
      <c r="W30" s="9">
        <v>8</v>
      </c>
      <c r="X30" s="4">
        <f>SUM(H30:W30)</f>
        <v>160.5</v>
      </c>
      <c r="AP30" s="4"/>
    </row>
  </sheetData>
  <phoneticPr fontId="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31"/>
  <sheetViews>
    <sheetView workbookViewId="0">
      <selection activeCell="H1" sqref="H1"/>
    </sheetView>
  </sheetViews>
  <sheetFormatPr defaultColWidth="8.85546875" defaultRowHeight="15" x14ac:dyDescent="0.25"/>
  <cols>
    <col min="1" max="1" width="7.28515625" bestFit="1" customWidth="1"/>
    <col min="2" max="2" width="19.710937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5" bestFit="1" customWidth="1"/>
    <col min="9" max="9" width="3.42578125" bestFit="1" customWidth="1"/>
    <col min="10" max="11" width="5" bestFit="1" customWidth="1"/>
    <col min="12" max="12" width="3.42578125" bestFit="1" customWidth="1"/>
    <col min="13" max="13" width="5" bestFit="1" customWidth="1"/>
    <col min="14" max="15" width="3.42578125" bestFit="1" customWidth="1"/>
    <col min="16" max="16" width="4" bestFit="1" customWidth="1"/>
    <col min="17" max="21" width="4.42578125" bestFit="1" customWidth="1"/>
    <col min="22" max="22" width="6.28515625" bestFit="1" customWidth="1"/>
    <col min="23" max="23" width="6" bestFit="1" customWidth="1"/>
    <col min="24" max="24" width="2.7109375" customWidth="1"/>
    <col min="25" max="25" width="4" bestFit="1" customWidth="1"/>
    <col min="26" max="26" width="3" bestFit="1" customWidth="1"/>
    <col min="27" max="28" width="4" bestFit="1" customWidth="1"/>
    <col min="29" max="29" width="3" bestFit="1" customWidth="1"/>
    <col min="30" max="30" width="4" bestFit="1" customWidth="1"/>
    <col min="31" max="33" width="3" bestFit="1" customWidth="1"/>
    <col min="34" max="38" width="4" bestFit="1" customWidth="1"/>
    <col min="39" max="39" width="6.28515625" bestFit="1" customWidth="1"/>
    <col min="40" max="40" width="5.42578125" bestFit="1" customWidth="1"/>
  </cols>
  <sheetData>
    <row r="1" spans="1:40" ht="19.5" thickBot="1" x14ac:dyDescent="0.35">
      <c r="A1" s="26"/>
      <c r="B1" s="30" t="s">
        <v>80</v>
      </c>
      <c r="C1" s="3"/>
      <c r="D1" s="3"/>
      <c r="E1" s="3"/>
      <c r="F1" s="3"/>
      <c r="W1" s="4"/>
      <c r="AN1" s="4"/>
    </row>
    <row r="2" spans="1:40" x14ac:dyDescent="0.25">
      <c r="A2" s="26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20</v>
      </c>
      <c r="W2" s="10" t="s">
        <v>2</v>
      </c>
      <c r="X2" s="9"/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20</v>
      </c>
      <c r="AN2" s="10" t="s">
        <v>2</v>
      </c>
    </row>
    <row r="3" spans="1:40" x14ac:dyDescent="0.25">
      <c r="A3" s="26" t="s">
        <v>111</v>
      </c>
      <c r="B3" s="11" t="s">
        <v>39</v>
      </c>
      <c r="C3" s="12">
        <f t="shared" ref="C3:C26" si="0">W3</f>
        <v>151.5</v>
      </c>
      <c r="D3" s="12">
        <f t="shared" ref="D3:D23" si="1">$W$29</f>
        <v>290</v>
      </c>
      <c r="E3" s="13">
        <f t="shared" ref="E3:E26" si="2">C3/D3</f>
        <v>0.52241379310344827</v>
      </c>
      <c r="F3" s="14">
        <f t="shared" ref="F3:F26" si="3">AN3</f>
        <v>16</v>
      </c>
      <c r="H3" s="9">
        <v>9.5</v>
      </c>
      <c r="I3" s="9">
        <v>11</v>
      </c>
      <c r="J3" s="9">
        <v>7.5</v>
      </c>
      <c r="K3" s="9">
        <v>11.5</v>
      </c>
      <c r="L3" s="9">
        <v>14</v>
      </c>
      <c r="M3" s="9">
        <v>10.5</v>
      </c>
      <c r="N3" s="9">
        <v>11</v>
      </c>
      <c r="O3" s="9">
        <v>9</v>
      </c>
      <c r="P3" s="9">
        <v>10</v>
      </c>
      <c r="Q3" s="9">
        <v>11</v>
      </c>
      <c r="R3" s="9">
        <v>10</v>
      </c>
      <c r="S3" s="9">
        <v>9</v>
      </c>
      <c r="T3" s="9">
        <v>12</v>
      </c>
      <c r="U3" s="9">
        <v>4</v>
      </c>
      <c r="V3" s="9">
        <v>11.5</v>
      </c>
      <c r="W3" s="4">
        <f t="shared" ref="W3:W26" si="4">SUM(H3:V3)</f>
        <v>151.5</v>
      </c>
      <c r="Y3" s="9">
        <v>1</v>
      </c>
      <c r="Z3" s="9">
        <v>2</v>
      </c>
      <c r="AA3" s="9">
        <v>1</v>
      </c>
      <c r="AB3" s="9">
        <v>0</v>
      </c>
      <c r="AC3" s="9">
        <v>1</v>
      </c>
      <c r="AD3" s="9">
        <v>0</v>
      </c>
      <c r="AE3" s="9">
        <v>1</v>
      </c>
      <c r="AF3" s="9">
        <v>1</v>
      </c>
      <c r="AG3" s="9">
        <v>1</v>
      </c>
      <c r="AH3" s="9">
        <v>1</v>
      </c>
      <c r="AI3" s="9">
        <v>2</v>
      </c>
      <c r="AJ3" s="9">
        <v>1</v>
      </c>
      <c r="AK3" s="9">
        <v>2</v>
      </c>
      <c r="AL3" s="9">
        <v>1</v>
      </c>
      <c r="AM3" s="9">
        <v>1</v>
      </c>
      <c r="AN3" s="4">
        <f t="shared" ref="AN3:AN26" si="5">SUM(Y3:AM3)</f>
        <v>16</v>
      </c>
    </row>
    <row r="4" spans="1:40" x14ac:dyDescent="0.25">
      <c r="A4" s="26" t="s">
        <v>112</v>
      </c>
      <c r="B4" s="11" t="s">
        <v>46</v>
      </c>
      <c r="C4" s="12">
        <f t="shared" si="0"/>
        <v>146.5</v>
      </c>
      <c r="D4" s="12">
        <f t="shared" si="1"/>
        <v>290</v>
      </c>
      <c r="E4" s="13">
        <f t="shared" si="2"/>
        <v>0.5051724137931034</v>
      </c>
      <c r="F4" s="14">
        <f t="shared" si="3"/>
        <v>12</v>
      </c>
      <c r="H4" s="9">
        <v>11.5</v>
      </c>
      <c r="I4" s="9">
        <v>12</v>
      </c>
      <c r="J4" s="9">
        <v>3.5</v>
      </c>
      <c r="K4" s="9">
        <v>12.5</v>
      </c>
      <c r="L4" s="9">
        <v>9</v>
      </c>
      <c r="M4" s="9">
        <v>11.5</v>
      </c>
      <c r="N4" s="9">
        <v>8</v>
      </c>
      <c r="O4" s="9">
        <v>9</v>
      </c>
      <c r="P4" s="9">
        <v>8</v>
      </c>
      <c r="Q4" s="9">
        <v>8</v>
      </c>
      <c r="R4" s="9">
        <v>12</v>
      </c>
      <c r="S4" s="9">
        <v>12</v>
      </c>
      <c r="T4" s="9">
        <v>11</v>
      </c>
      <c r="U4" s="9">
        <v>5</v>
      </c>
      <c r="V4" s="9">
        <v>13.5</v>
      </c>
      <c r="W4" s="4">
        <f t="shared" si="4"/>
        <v>146.5</v>
      </c>
      <c r="Y4" s="9">
        <v>1</v>
      </c>
      <c r="Z4" s="9">
        <v>0</v>
      </c>
      <c r="AA4" s="9">
        <v>1</v>
      </c>
      <c r="AB4" s="9">
        <v>0</v>
      </c>
      <c r="AC4" s="9">
        <v>2</v>
      </c>
      <c r="AD4" s="9">
        <v>0</v>
      </c>
      <c r="AE4" s="9">
        <v>1</v>
      </c>
      <c r="AF4" s="9">
        <v>0</v>
      </c>
      <c r="AG4" s="9">
        <v>0</v>
      </c>
      <c r="AH4" s="9">
        <v>2</v>
      </c>
      <c r="AI4" s="9">
        <v>1</v>
      </c>
      <c r="AJ4" s="9">
        <v>1</v>
      </c>
      <c r="AK4" s="9">
        <v>0</v>
      </c>
      <c r="AL4" s="9">
        <v>1</v>
      </c>
      <c r="AM4" s="9">
        <v>2</v>
      </c>
      <c r="AN4" s="4">
        <f t="shared" si="5"/>
        <v>12</v>
      </c>
    </row>
    <row r="5" spans="1:40" x14ac:dyDescent="0.25">
      <c r="A5" s="26" t="s">
        <v>113</v>
      </c>
      <c r="B5" s="11" t="s">
        <v>44</v>
      </c>
      <c r="C5" s="12">
        <f t="shared" si="0"/>
        <v>142.5</v>
      </c>
      <c r="D5" s="12">
        <f t="shared" si="1"/>
        <v>290</v>
      </c>
      <c r="E5" s="13">
        <f t="shared" si="2"/>
        <v>0.49137931034482757</v>
      </c>
      <c r="F5" s="14">
        <f t="shared" si="3"/>
        <v>13</v>
      </c>
      <c r="H5" s="9">
        <v>10.5</v>
      </c>
      <c r="I5" s="9">
        <v>14</v>
      </c>
      <c r="J5" s="9">
        <v>10.5</v>
      </c>
      <c r="K5" s="9">
        <v>14.5</v>
      </c>
      <c r="L5" s="9">
        <v>11</v>
      </c>
      <c r="M5" s="9">
        <v>9.5</v>
      </c>
      <c r="N5" s="9">
        <v>8</v>
      </c>
      <c r="O5" s="9">
        <v>15</v>
      </c>
      <c r="P5" s="9">
        <v>8</v>
      </c>
      <c r="Q5" s="9">
        <v>11</v>
      </c>
      <c r="R5" s="9">
        <v>7</v>
      </c>
      <c r="S5" s="9">
        <v>7</v>
      </c>
      <c r="T5" s="9">
        <v>8</v>
      </c>
      <c r="U5" s="9">
        <v>3</v>
      </c>
      <c r="V5" s="9">
        <v>5.5</v>
      </c>
      <c r="W5" s="4">
        <f t="shared" si="4"/>
        <v>142.5</v>
      </c>
      <c r="Y5" s="9">
        <v>0</v>
      </c>
      <c r="Z5" s="9">
        <v>2</v>
      </c>
      <c r="AA5" s="9">
        <v>1</v>
      </c>
      <c r="AB5" s="9">
        <v>2</v>
      </c>
      <c r="AC5" s="9">
        <v>1</v>
      </c>
      <c r="AD5" s="9">
        <v>1</v>
      </c>
      <c r="AE5" s="9">
        <v>1</v>
      </c>
      <c r="AF5" s="9">
        <v>0</v>
      </c>
      <c r="AG5" s="9">
        <v>0</v>
      </c>
      <c r="AH5" s="9">
        <v>2</v>
      </c>
      <c r="AI5" s="9">
        <v>1</v>
      </c>
      <c r="AJ5" s="9">
        <v>1</v>
      </c>
      <c r="AK5" s="9">
        <v>0</v>
      </c>
      <c r="AL5" s="9">
        <v>0</v>
      </c>
      <c r="AM5" s="9">
        <v>1</v>
      </c>
      <c r="AN5" s="4">
        <f t="shared" si="5"/>
        <v>13</v>
      </c>
    </row>
    <row r="6" spans="1:40" x14ac:dyDescent="0.25">
      <c r="A6" s="26" t="s">
        <v>114</v>
      </c>
      <c r="B6" s="11" t="s">
        <v>59</v>
      </c>
      <c r="C6" s="12">
        <f t="shared" si="0"/>
        <v>141.5</v>
      </c>
      <c r="D6" s="12">
        <f t="shared" si="1"/>
        <v>290</v>
      </c>
      <c r="E6" s="13">
        <f t="shared" si="2"/>
        <v>0.4879310344827586</v>
      </c>
      <c r="F6" s="14">
        <f t="shared" si="3"/>
        <v>14.5</v>
      </c>
      <c r="H6" s="9">
        <v>6.5</v>
      </c>
      <c r="I6" s="9">
        <v>14</v>
      </c>
      <c r="J6" s="9">
        <v>7.5</v>
      </c>
      <c r="K6" s="9">
        <v>15.5</v>
      </c>
      <c r="L6" s="9">
        <v>10</v>
      </c>
      <c r="M6" s="9">
        <v>10.5</v>
      </c>
      <c r="N6" s="9">
        <v>8</v>
      </c>
      <c r="O6" s="9">
        <v>16</v>
      </c>
      <c r="P6" s="9">
        <v>14</v>
      </c>
      <c r="Q6" s="9">
        <v>6</v>
      </c>
      <c r="R6" s="9">
        <v>10</v>
      </c>
      <c r="S6" s="9">
        <v>5</v>
      </c>
      <c r="T6" s="9">
        <v>9</v>
      </c>
      <c r="U6" s="9">
        <v>3</v>
      </c>
      <c r="V6" s="9">
        <v>6.5</v>
      </c>
      <c r="W6" s="4">
        <f t="shared" si="4"/>
        <v>141.5</v>
      </c>
      <c r="Y6" s="9">
        <v>0</v>
      </c>
      <c r="Z6" s="9">
        <v>1</v>
      </c>
      <c r="AA6" s="9">
        <v>1</v>
      </c>
      <c r="AB6" s="9">
        <v>1.5</v>
      </c>
      <c r="AC6" s="9">
        <v>1</v>
      </c>
      <c r="AD6" s="9">
        <v>1</v>
      </c>
      <c r="AE6" s="9">
        <v>1</v>
      </c>
      <c r="AF6" s="9">
        <v>2</v>
      </c>
      <c r="AG6" s="9">
        <v>1</v>
      </c>
      <c r="AH6" s="9">
        <v>1</v>
      </c>
      <c r="AI6" s="9">
        <v>1</v>
      </c>
      <c r="AJ6" s="9">
        <v>0</v>
      </c>
      <c r="AK6" s="9">
        <v>2</v>
      </c>
      <c r="AL6" s="9">
        <v>0</v>
      </c>
      <c r="AM6" s="9">
        <v>1</v>
      </c>
      <c r="AN6" s="4">
        <f t="shared" si="5"/>
        <v>14.5</v>
      </c>
    </row>
    <row r="7" spans="1:40" x14ac:dyDescent="0.25">
      <c r="A7" s="26" t="s">
        <v>115</v>
      </c>
      <c r="B7" s="11" t="s">
        <v>42</v>
      </c>
      <c r="C7" s="12">
        <f t="shared" si="0"/>
        <v>140.5</v>
      </c>
      <c r="D7" s="12">
        <f t="shared" si="1"/>
        <v>290</v>
      </c>
      <c r="E7" s="13">
        <f t="shared" si="2"/>
        <v>0.48448275862068968</v>
      </c>
      <c r="F7" s="14">
        <f t="shared" si="3"/>
        <v>15</v>
      </c>
      <c r="H7" s="9">
        <v>11.5</v>
      </c>
      <c r="I7" s="9">
        <v>9</v>
      </c>
      <c r="J7" s="9">
        <v>8.5</v>
      </c>
      <c r="K7" s="9">
        <v>9.5</v>
      </c>
      <c r="L7" s="9">
        <v>10</v>
      </c>
      <c r="M7" s="9">
        <v>10.5</v>
      </c>
      <c r="N7" s="9">
        <v>8</v>
      </c>
      <c r="O7" s="9">
        <v>11</v>
      </c>
      <c r="P7" s="9">
        <v>5</v>
      </c>
      <c r="Q7" s="9">
        <v>6</v>
      </c>
      <c r="R7" s="9">
        <v>6</v>
      </c>
      <c r="S7" s="9">
        <v>15</v>
      </c>
      <c r="T7" s="9">
        <v>11</v>
      </c>
      <c r="U7" s="9">
        <v>5</v>
      </c>
      <c r="V7" s="9">
        <v>14.5</v>
      </c>
      <c r="W7" s="4">
        <f t="shared" si="4"/>
        <v>140.5</v>
      </c>
      <c r="Y7" s="9">
        <v>1</v>
      </c>
      <c r="Z7" s="9">
        <v>2</v>
      </c>
      <c r="AA7" s="9">
        <v>1</v>
      </c>
      <c r="AB7" s="9">
        <v>1</v>
      </c>
      <c r="AC7" s="9">
        <v>0</v>
      </c>
      <c r="AD7" s="9">
        <v>1</v>
      </c>
      <c r="AE7" s="9">
        <v>1</v>
      </c>
      <c r="AF7" s="9">
        <v>2</v>
      </c>
      <c r="AG7" s="9">
        <v>1</v>
      </c>
      <c r="AH7" s="9">
        <v>1</v>
      </c>
      <c r="AI7" s="9">
        <v>1</v>
      </c>
      <c r="AJ7" s="9">
        <v>1</v>
      </c>
      <c r="AK7" s="9">
        <v>0</v>
      </c>
      <c r="AL7" s="9">
        <v>1</v>
      </c>
      <c r="AM7" s="9">
        <v>1</v>
      </c>
      <c r="AN7" s="4">
        <f t="shared" si="5"/>
        <v>15</v>
      </c>
    </row>
    <row r="8" spans="1:40" x14ac:dyDescent="0.25">
      <c r="A8" s="26" t="s">
        <v>116</v>
      </c>
      <c r="B8" s="11" t="s">
        <v>55</v>
      </c>
      <c r="C8" s="12">
        <f t="shared" si="0"/>
        <v>138.5</v>
      </c>
      <c r="D8" s="12">
        <f t="shared" si="1"/>
        <v>290</v>
      </c>
      <c r="E8" s="13">
        <f t="shared" si="2"/>
        <v>0.47758620689655173</v>
      </c>
      <c r="F8" s="14">
        <f t="shared" si="3"/>
        <v>18</v>
      </c>
      <c r="H8" s="9">
        <v>10.5</v>
      </c>
      <c r="I8" s="9">
        <v>12</v>
      </c>
      <c r="J8" s="9">
        <v>4.5</v>
      </c>
      <c r="K8" s="9">
        <v>15.5</v>
      </c>
      <c r="L8" s="9">
        <v>12</v>
      </c>
      <c r="M8" s="9">
        <v>6.5</v>
      </c>
      <c r="N8" s="9">
        <v>6</v>
      </c>
      <c r="O8" s="9">
        <v>12</v>
      </c>
      <c r="P8" s="9">
        <v>9</v>
      </c>
      <c r="Q8" s="9">
        <v>10</v>
      </c>
      <c r="R8" s="9">
        <v>7</v>
      </c>
      <c r="S8" s="9">
        <v>11</v>
      </c>
      <c r="T8" s="9">
        <v>10</v>
      </c>
      <c r="U8" s="9">
        <v>6</v>
      </c>
      <c r="V8" s="9">
        <v>6.5</v>
      </c>
      <c r="W8" s="4">
        <f t="shared" si="4"/>
        <v>138.5</v>
      </c>
      <c r="Y8" s="9">
        <v>2</v>
      </c>
      <c r="Z8" s="9">
        <v>1</v>
      </c>
      <c r="AA8" s="9">
        <v>0.5</v>
      </c>
      <c r="AB8" s="9">
        <v>1</v>
      </c>
      <c r="AC8" s="9">
        <v>2</v>
      </c>
      <c r="AD8" s="9">
        <v>1</v>
      </c>
      <c r="AE8" s="9">
        <v>0</v>
      </c>
      <c r="AF8" s="9">
        <v>2</v>
      </c>
      <c r="AG8" s="9">
        <v>1</v>
      </c>
      <c r="AH8" s="9">
        <v>0</v>
      </c>
      <c r="AI8" s="9">
        <v>1.5</v>
      </c>
      <c r="AJ8" s="9">
        <v>1</v>
      </c>
      <c r="AK8" s="9">
        <v>1</v>
      </c>
      <c r="AL8" s="9">
        <v>2</v>
      </c>
      <c r="AM8" s="9">
        <v>2</v>
      </c>
      <c r="AN8" s="4">
        <f t="shared" si="5"/>
        <v>18</v>
      </c>
    </row>
    <row r="9" spans="1:40" x14ac:dyDescent="0.25">
      <c r="A9" s="26" t="s">
        <v>117</v>
      </c>
      <c r="B9" s="11" t="s">
        <v>50</v>
      </c>
      <c r="C9" s="12">
        <f t="shared" si="0"/>
        <v>137.5</v>
      </c>
      <c r="D9" s="12">
        <f t="shared" si="1"/>
        <v>290</v>
      </c>
      <c r="E9" s="13">
        <f t="shared" si="2"/>
        <v>0.47413793103448276</v>
      </c>
      <c r="F9" s="14">
        <f t="shared" si="3"/>
        <v>18</v>
      </c>
      <c r="H9" s="9">
        <v>8.5</v>
      </c>
      <c r="I9" s="9">
        <v>12</v>
      </c>
      <c r="J9" s="9">
        <v>7.5</v>
      </c>
      <c r="K9" s="9">
        <v>13.5</v>
      </c>
      <c r="L9" s="9">
        <v>11</v>
      </c>
      <c r="M9" s="9">
        <v>9.5</v>
      </c>
      <c r="N9" s="9">
        <v>7</v>
      </c>
      <c r="O9" s="9">
        <v>13</v>
      </c>
      <c r="P9" s="9">
        <v>8</v>
      </c>
      <c r="Q9" s="9">
        <v>8</v>
      </c>
      <c r="R9" s="9">
        <v>8</v>
      </c>
      <c r="S9" s="9">
        <v>11</v>
      </c>
      <c r="T9" s="9">
        <v>10</v>
      </c>
      <c r="U9" s="9">
        <v>4</v>
      </c>
      <c r="V9" s="9">
        <v>6.5</v>
      </c>
      <c r="W9" s="4">
        <f t="shared" si="4"/>
        <v>137.5</v>
      </c>
      <c r="Y9" s="9">
        <v>1</v>
      </c>
      <c r="Z9" s="9">
        <v>1</v>
      </c>
      <c r="AA9" s="9">
        <v>1</v>
      </c>
      <c r="AB9" s="9">
        <v>0</v>
      </c>
      <c r="AC9" s="9">
        <v>2</v>
      </c>
      <c r="AD9" s="9">
        <v>2</v>
      </c>
      <c r="AE9" s="9">
        <v>1</v>
      </c>
      <c r="AF9" s="9">
        <v>1</v>
      </c>
      <c r="AG9" s="9">
        <v>1</v>
      </c>
      <c r="AH9" s="9">
        <v>1</v>
      </c>
      <c r="AI9" s="9">
        <v>1</v>
      </c>
      <c r="AJ9" s="9">
        <v>1</v>
      </c>
      <c r="AK9" s="9">
        <v>2</v>
      </c>
      <c r="AL9" s="9">
        <v>1</v>
      </c>
      <c r="AM9" s="9">
        <v>2</v>
      </c>
      <c r="AN9" s="4">
        <f t="shared" si="5"/>
        <v>18</v>
      </c>
    </row>
    <row r="10" spans="1:40" x14ac:dyDescent="0.25">
      <c r="A10" s="26" t="s">
        <v>118</v>
      </c>
      <c r="B10" s="11" t="s">
        <v>45</v>
      </c>
      <c r="C10" s="12">
        <f t="shared" si="0"/>
        <v>136.5</v>
      </c>
      <c r="D10" s="12">
        <f t="shared" si="1"/>
        <v>290</v>
      </c>
      <c r="E10" s="13">
        <f t="shared" si="2"/>
        <v>0.47068965517241379</v>
      </c>
      <c r="F10" s="14">
        <f t="shared" si="3"/>
        <v>14.5</v>
      </c>
      <c r="H10" s="9">
        <v>10.5</v>
      </c>
      <c r="I10" s="9">
        <v>12</v>
      </c>
      <c r="J10" s="9">
        <v>7.5</v>
      </c>
      <c r="K10" s="9">
        <v>12.5</v>
      </c>
      <c r="L10" s="9">
        <v>9</v>
      </c>
      <c r="M10" s="9">
        <v>8.5</v>
      </c>
      <c r="N10" s="9">
        <v>9</v>
      </c>
      <c r="O10" s="9">
        <v>11</v>
      </c>
      <c r="P10" s="9">
        <v>8</v>
      </c>
      <c r="Q10" s="9">
        <v>6</v>
      </c>
      <c r="R10" s="9">
        <v>11</v>
      </c>
      <c r="S10" s="9">
        <v>11</v>
      </c>
      <c r="T10" s="9">
        <v>10</v>
      </c>
      <c r="U10" s="9">
        <v>3</v>
      </c>
      <c r="V10" s="9">
        <v>7.5</v>
      </c>
      <c r="W10" s="4">
        <f t="shared" si="4"/>
        <v>136.5</v>
      </c>
      <c r="Y10" s="9">
        <v>1</v>
      </c>
      <c r="Z10" s="9">
        <v>1</v>
      </c>
      <c r="AA10" s="9">
        <v>1</v>
      </c>
      <c r="AB10" s="9">
        <v>1.5</v>
      </c>
      <c r="AC10" s="9">
        <v>2</v>
      </c>
      <c r="AD10" s="9">
        <v>0</v>
      </c>
      <c r="AE10" s="9">
        <v>0</v>
      </c>
      <c r="AF10" s="9">
        <v>0</v>
      </c>
      <c r="AG10" s="9">
        <v>0</v>
      </c>
      <c r="AH10" s="9">
        <v>1</v>
      </c>
      <c r="AI10" s="9">
        <v>2</v>
      </c>
      <c r="AJ10" s="9">
        <v>1</v>
      </c>
      <c r="AK10" s="9">
        <v>2</v>
      </c>
      <c r="AL10" s="9">
        <v>1</v>
      </c>
      <c r="AM10" s="9">
        <v>1</v>
      </c>
      <c r="AN10" s="4">
        <f t="shared" si="5"/>
        <v>14.5</v>
      </c>
    </row>
    <row r="11" spans="1:40" x14ac:dyDescent="0.25">
      <c r="A11" s="26" t="s">
        <v>119</v>
      </c>
      <c r="B11" s="11" t="s">
        <v>36</v>
      </c>
      <c r="C11" s="12">
        <f t="shared" si="0"/>
        <v>134.5</v>
      </c>
      <c r="D11" s="12">
        <f t="shared" si="1"/>
        <v>290</v>
      </c>
      <c r="E11" s="13">
        <f t="shared" si="2"/>
        <v>0.46379310344827585</v>
      </c>
      <c r="F11" s="14">
        <f t="shared" si="3"/>
        <v>15</v>
      </c>
      <c r="H11" s="9">
        <v>12.5</v>
      </c>
      <c r="I11" s="9">
        <v>13</v>
      </c>
      <c r="J11" s="9">
        <v>8.5</v>
      </c>
      <c r="K11" s="9">
        <v>8.5</v>
      </c>
      <c r="L11" s="9">
        <v>11</v>
      </c>
      <c r="M11" s="9">
        <v>9.5</v>
      </c>
      <c r="N11" s="9">
        <v>5</v>
      </c>
      <c r="O11" s="9">
        <v>11</v>
      </c>
      <c r="P11" s="9">
        <v>8</v>
      </c>
      <c r="Q11" s="9">
        <v>9</v>
      </c>
      <c r="R11" s="9">
        <v>12</v>
      </c>
      <c r="S11" s="9">
        <v>11</v>
      </c>
      <c r="T11" s="9">
        <v>7</v>
      </c>
      <c r="U11" s="9">
        <v>3</v>
      </c>
      <c r="V11" s="9">
        <v>5.5</v>
      </c>
      <c r="W11" s="4">
        <f t="shared" si="4"/>
        <v>134.5</v>
      </c>
      <c r="Y11" s="9">
        <v>2</v>
      </c>
      <c r="Z11" s="9">
        <v>2</v>
      </c>
      <c r="AA11" s="9">
        <v>1.5</v>
      </c>
      <c r="AB11" s="9">
        <v>1</v>
      </c>
      <c r="AC11" s="9">
        <v>0</v>
      </c>
      <c r="AD11" s="9">
        <v>1</v>
      </c>
      <c r="AE11" s="9">
        <v>1</v>
      </c>
      <c r="AF11" s="9">
        <v>2</v>
      </c>
      <c r="AG11" s="9">
        <v>1</v>
      </c>
      <c r="AH11" s="9">
        <v>1</v>
      </c>
      <c r="AI11" s="9">
        <v>1</v>
      </c>
      <c r="AJ11" s="9">
        <v>0</v>
      </c>
      <c r="AK11" s="9">
        <v>0</v>
      </c>
      <c r="AL11" s="9">
        <v>1</v>
      </c>
      <c r="AM11" s="9">
        <v>0.5</v>
      </c>
      <c r="AN11" s="4">
        <f t="shared" si="5"/>
        <v>15</v>
      </c>
    </row>
    <row r="12" spans="1:40" x14ac:dyDescent="0.25">
      <c r="A12" s="26" t="s">
        <v>120</v>
      </c>
      <c r="B12" s="11" t="s">
        <v>51</v>
      </c>
      <c r="C12" s="12">
        <f t="shared" si="0"/>
        <v>134.5</v>
      </c>
      <c r="D12" s="12">
        <f t="shared" si="1"/>
        <v>290</v>
      </c>
      <c r="E12" s="13">
        <f t="shared" si="2"/>
        <v>0.46379310344827585</v>
      </c>
      <c r="F12" s="14">
        <f t="shared" si="3"/>
        <v>14.5</v>
      </c>
      <c r="H12" s="9">
        <v>9.5</v>
      </c>
      <c r="I12" s="9">
        <v>11</v>
      </c>
      <c r="J12" s="9">
        <v>7.5</v>
      </c>
      <c r="K12" s="9">
        <v>13.5</v>
      </c>
      <c r="L12" s="9">
        <v>10</v>
      </c>
      <c r="M12" s="9">
        <v>8.5</v>
      </c>
      <c r="N12" s="9">
        <v>5</v>
      </c>
      <c r="O12" s="9">
        <v>14</v>
      </c>
      <c r="P12" s="9">
        <v>10</v>
      </c>
      <c r="Q12" s="9">
        <v>8</v>
      </c>
      <c r="R12" s="9">
        <v>9</v>
      </c>
      <c r="S12" s="9">
        <v>11</v>
      </c>
      <c r="T12" s="9">
        <v>7</v>
      </c>
      <c r="U12" s="9">
        <v>5</v>
      </c>
      <c r="V12" s="9">
        <v>5.5</v>
      </c>
      <c r="W12" s="4">
        <f t="shared" si="4"/>
        <v>134.5</v>
      </c>
      <c r="Y12" s="9">
        <v>1</v>
      </c>
      <c r="Z12" s="9">
        <v>1</v>
      </c>
      <c r="AA12" s="9">
        <v>1</v>
      </c>
      <c r="AB12" s="9">
        <v>1</v>
      </c>
      <c r="AC12" s="9">
        <v>1</v>
      </c>
      <c r="AD12" s="9">
        <v>1</v>
      </c>
      <c r="AE12" s="9">
        <v>1</v>
      </c>
      <c r="AF12" s="9">
        <v>2</v>
      </c>
      <c r="AG12" s="9">
        <v>0</v>
      </c>
      <c r="AH12" s="9">
        <v>1</v>
      </c>
      <c r="AI12" s="9">
        <v>0.5</v>
      </c>
      <c r="AJ12" s="9">
        <v>2</v>
      </c>
      <c r="AK12" s="9">
        <v>0</v>
      </c>
      <c r="AL12" s="9">
        <v>1</v>
      </c>
      <c r="AM12" s="9">
        <v>1</v>
      </c>
      <c r="AN12" s="4">
        <f t="shared" si="5"/>
        <v>14.5</v>
      </c>
    </row>
    <row r="13" spans="1:40" x14ac:dyDescent="0.25">
      <c r="A13" s="26" t="s">
        <v>121</v>
      </c>
      <c r="B13" s="11" t="s">
        <v>48</v>
      </c>
      <c r="C13" s="12">
        <f t="shared" si="0"/>
        <v>132.5</v>
      </c>
      <c r="D13" s="12">
        <f t="shared" si="1"/>
        <v>290</v>
      </c>
      <c r="E13" s="13">
        <f t="shared" si="2"/>
        <v>0.45689655172413796</v>
      </c>
      <c r="F13" s="14">
        <f t="shared" si="3"/>
        <v>10.5</v>
      </c>
      <c r="H13" s="9">
        <v>9.5</v>
      </c>
      <c r="I13" s="9">
        <v>13</v>
      </c>
      <c r="J13" s="9">
        <v>6.5</v>
      </c>
      <c r="K13" s="9">
        <v>11.5</v>
      </c>
      <c r="L13" s="9">
        <v>8</v>
      </c>
      <c r="M13" s="9">
        <v>9.5</v>
      </c>
      <c r="N13" s="9">
        <v>6</v>
      </c>
      <c r="O13" s="9">
        <v>15</v>
      </c>
      <c r="P13" s="9">
        <v>8</v>
      </c>
      <c r="Q13" s="9">
        <v>7</v>
      </c>
      <c r="R13" s="9">
        <v>8</v>
      </c>
      <c r="S13" s="9">
        <v>10</v>
      </c>
      <c r="T13" s="9">
        <v>9</v>
      </c>
      <c r="U13" s="9">
        <v>5</v>
      </c>
      <c r="V13" s="9">
        <v>6.5</v>
      </c>
      <c r="W13" s="4">
        <f t="shared" si="4"/>
        <v>132.5</v>
      </c>
      <c r="Y13" s="9">
        <v>0</v>
      </c>
      <c r="Z13" s="9">
        <v>0</v>
      </c>
      <c r="AA13" s="9">
        <v>2</v>
      </c>
      <c r="AB13" s="9">
        <v>2</v>
      </c>
      <c r="AC13" s="9">
        <v>0</v>
      </c>
      <c r="AD13" s="9">
        <v>0</v>
      </c>
      <c r="AE13" s="9">
        <v>0</v>
      </c>
      <c r="AF13" s="9">
        <v>1</v>
      </c>
      <c r="AG13" s="9">
        <v>0</v>
      </c>
      <c r="AH13" s="9">
        <v>1</v>
      </c>
      <c r="AI13" s="9">
        <v>0.5</v>
      </c>
      <c r="AJ13" s="9">
        <v>1</v>
      </c>
      <c r="AK13" s="9">
        <v>1</v>
      </c>
      <c r="AL13" s="9">
        <v>1</v>
      </c>
      <c r="AM13" s="9">
        <v>1</v>
      </c>
      <c r="AN13" s="4">
        <f t="shared" si="5"/>
        <v>10.5</v>
      </c>
    </row>
    <row r="14" spans="1:40" x14ac:dyDescent="0.25">
      <c r="A14" s="26" t="s">
        <v>122</v>
      </c>
      <c r="B14" s="11" t="s">
        <v>40</v>
      </c>
      <c r="C14" s="12">
        <f t="shared" si="0"/>
        <v>132.5</v>
      </c>
      <c r="D14" s="12">
        <f t="shared" si="1"/>
        <v>290</v>
      </c>
      <c r="E14" s="13">
        <f t="shared" si="2"/>
        <v>0.45689655172413796</v>
      </c>
      <c r="F14" s="14">
        <f t="shared" si="3"/>
        <v>8</v>
      </c>
      <c r="H14" s="9">
        <v>8.5</v>
      </c>
      <c r="I14" s="9">
        <v>9</v>
      </c>
      <c r="J14" s="9">
        <v>6.5</v>
      </c>
      <c r="K14" s="9">
        <v>9.5</v>
      </c>
      <c r="L14" s="9">
        <v>9</v>
      </c>
      <c r="M14" s="9">
        <v>13.5</v>
      </c>
      <c r="N14" s="9">
        <v>11</v>
      </c>
      <c r="O14" s="9">
        <v>11</v>
      </c>
      <c r="P14" s="9">
        <v>9</v>
      </c>
      <c r="Q14" s="9">
        <v>6</v>
      </c>
      <c r="R14" s="9">
        <v>13</v>
      </c>
      <c r="S14" s="9">
        <v>9</v>
      </c>
      <c r="T14" s="9">
        <v>9</v>
      </c>
      <c r="U14" s="9">
        <v>2</v>
      </c>
      <c r="V14" s="9">
        <v>6.5</v>
      </c>
      <c r="W14" s="4">
        <f t="shared" si="4"/>
        <v>132.5</v>
      </c>
      <c r="Y14" s="9">
        <v>1</v>
      </c>
      <c r="Z14" s="9">
        <v>0</v>
      </c>
      <c r="AA14" s="9">
        <v>0</v>
      </c>
      <c r="AB14" s="9">
        <v>0</v>
      </c>
      <c r="AC14" s="9">
        <v>0</v>
      </c>
      <c r="AD14" s="9">
        <v>1</v>
      </c>
      <c r="AE14" s="9">
        <v>1</v>
      </c>
      <c r="AF14" s="9">
        <v>0</v>
      </c>
      <c r="AG14" s="9">
        <v>1</v>
      </c>
      <c r="AH14" s="9">
        <v>0</v>
      </c>
      <c r="AI14" s="9">
        <v>1</v>
      </c>
      <c r="AJ14" s="9">
        <v>1</v>
      </c>
      <c r="AK14" s="9">
        <v>1</v>
      </c>
      <c r="AL14" s="9">
        <v>1</v>
      </c>
      <c r="AM14" s="9">
        <v>0</v>
      </c>
      <c r="AN14" s="4">
        <f t="shared" si="5"/>
        <v>8</v>
      </c>
    </row>
    <row r="15" spans="1:40" x14ac:dyDescent="0.25">
      <c r="A15" s="26" t="s">
        <v>123</v>
      </c>
      <c r="B15" s="11" t="s">
        <v>52</v>
      </c>
      <c r="C15" s="12">
        <f t="shared" si="0"/>
        <v>131.5</v>
      </c>
      <c r="D15" s="12">
        <f t="shared" si="1"/>
        <v>290</v>
      </c>
      <c r="E15" s="13">
        <f t="shared" si="2"/>
        <v>0.45344827586206898</v>
      </c>
      <c r="F15" s="14">
        <f t="shared" si="3"/>
        <v>16</v>
      </c>
      <c r="H15" s="9">
        <v>9.5</v>
      </c>
      <c r="I15" s="9">
        <v>11</v>
      </c>
      <c r="J15" s="9">
        <v>5.5</v>
      </c>
      <c r="K15" s="9">
        <v>13.5</v>
      </c>
      <c r="L15" s="9">
        <v>10</v>
      </c>
      <c r="M15" s="9">
        <v>8.5</v>
      </c>
      <c r="N15" s="9">
        <v>5</v>
      </c>
      <c r="O15" s="9">
        <v>11</v>
      </c>
      <c r="P15" s="9">
        <v>7</v>
      </c>
      <c r="Q15" s="9">
        <v>9</v>
      </c>
      <c r="R15" s="9">
        <v>9</v>
      </c>
      <c r="S15" s="9">
        <v>11</v>
      </c>
      <c r="T15" s="9">
        <v>11</v>
      </c>
      <c r="U15" s="9">
        <v>5</v>
      </c>
      <c r="V15" s="9">
        <v>5.5</v>
      </c>
      <c r="W15" s="4">
        <f t="shared" si="4"/>
        <v>131.5</v>
      </c>
      <c r="Y15" s="9">
        <v>0</v>
      </c>
      <c r="Z15" s="9">
        <v>1</v>
      </c>
      <c r="AA15" s="9">
        <v>0</v>
      </c>
      <c r="AB15" s="9">
        <v>2</v>
      </c>
      <c r="AC15" s="9">
        <v>1</v>
      </c>
      <c r="AD15" s="9">
        <v>1</v>
      </c>
      <c r="AE15" s="9">
        <v>1</v>
      </c>
      <c r="AF15" s="9">
        <v>0</v>
      </c>
      <c r="AG15" s="9">
        <v>0</v>
      </c>
      <c r="AH15" s="9">
        <v>2</v>
      </c>
      <c r="AI15" s="9">
        <v>2</v>
      </c>
      <c r="AJ15" s="9">
        <v>0</v>
      </c>
      <c r="AK15" s="9">
        <v>2</v>
      </c>
      <c r="AL15" s="9">
        <v>2</v>
      </c>
      <c r="AM15" s="9">
        <v>2</v>
      </c>
      <c r="AN15" s="4">
        <f t="shared" si="5"/>
        <v>16</v>
      </c>
    </row>
    <row r="16" spans="1:40" x14ac:dyDescent="0.25">
      <c r="A16" s="26" t="s">
        <v>124</v>
      </c>
      <c r="B16" s="11" t="s">
        <v>67</v>
      </c>
      <c r="C16" s="12">
        <f t="shared" si="0"/>
        <v>131.5</v>
      </c>
      <c r="D16" s="12">
        <f t="shared" si="1"/>
        <v>290</v>
      </c>
      <c r="E16" s="13">
        <f t="shared" si="2"/>
        <v>0.45344827586206898</v>
      </c>
      <c r="F16" s="14">
        <f t="shared" si="3"/>
        <v>12.5</v>
      </c>
      <c r="H16" s="9">
        <v>11.5</v>
      </c>
      <c r="I16" s="9">
        <v>10</v>
      </c>
      <c r="J16" s="9">
        <v>6.5</v>
      </c>
      <c r="K16" s="9">
        <v>12.5</v>
      </c>
      <c r="L16" s="9">
        <v>9</v>
      </c>
      <c r="M16" s="9">
        <v>8.5</v>
      </c>
      <c r="N16" s="9">
        <v>8</v>
      </c>
      <c r="O16" s="9">
        <v>11</v>
      </c>
      <c r="P16" s="9">
        <v>8</v>
      </c>
      <c r="Q16" s="9">
        <v>8</v>
      </c>
      <c r="R16" s="9">
        <v>9</v>
      </c>
      <c r="S16" s="9">
        <v>12</v>
      </c>
      <c r="T16" s="9">
        <v>6</v>
      </c>
      <c r="U16" s="9">
        <v>4</v>
      </c>
      <c r="V16" s="9">
        <v>7.5</v>
      </c>
      <c r="W16" s="4">
        <f t="shared" si="4"/>
        <v>131.5</v>
      </c>
      <c r="Y16" s="9">
        <v>1</v>
      </c>
      <c r="Z16" s="9">
        <v>1</v>
      </c>
      <c r="AA16" s="9">
        <v>0</v>
      </c>
      <c r="AB16" s="9">
        <v>0</v>
      </c>
      <c r="AC16" s="9">
        <v>0</v>
      </c>
      <c r="AD16" s="9">
        <v>0</v>
      </c>
      <c r="AE16" s="9">
        <v>1</v>
      </c>
      <c r="AF16" s="9">
        <v>1</v>
      </c>
      <c r="AG16" s="9">
        <v>1</v>
      </c>
      <c r="AH16" s="9">
        <v>1</v>
      </c>
      <c r="AI16" s="9">
        <v>1.5</v>
      </c>
      <c r="AJ16" s="9">
        <v>1</v>
      </c>
      <c r="AK16" s="9">
        <v>0</v>
      </c>
      <c r="AL16" s="9">
        <v>1</v>
      </c>
      <c r="AM16" s="9">
        <v>3</v>
      </c>
      <c r="AN16" s="4">
        <f t="shared" si="5"/>
        <v>12.5</v>
      </c>
    </row>
    <row r="17" spans="1:40" x14ac:dyDescent="0.25">
      <c r="A17" s="26" t="s">
        <v>125</v>
      </c>
      <c r="B17" s="11" t="s">
        <v>66</v>
      </c>
      <c r="C17" s="12">
        <f t="shared" si="0"/>
        <v>131.5</v>
      </c>
      <c r="D17" s="12">
        <f t="shared" si="1"/>
        <v>290</v>
      </c>
      <c r="E17" s="13">
        <f t="shared" si="2"/>
        <v>0.45344827586206898</v>
      </c>
      <c r="F17" s="14">
        <f t="shared" si="3"/>
        <v>8.5</v>
      </c>
      <c r="H17" s="9">
        <v>10.5</v>
      </c>
      <c r="I17" s="9">
        <v>10</v>
      </c>
      <c r="J17" s="9">
        <v>8.5</v>
      </c>
      <c r="K17" s="9">
        <v>12.5</v>
      </c>
      <c r="L17" s="9">
        <v>13</v>
      </c>
      <c r="M17" s="9">
        <v>11.5</v>
      </c>
      <c r="N17" s="9">
        <v>8</v>
      </c>
      <c r="O17" s="9">
        <v>9</v>
      </c>
      <c r="P17" s="9">
        <v>4</v>
      </c>
      <c r="Q17" s="9">
        <v>6</v>
      </c>
      <c r="R17" s="9">
        <v>12</v>
      </c>
      <c r="S17" s="9">
        <v>13</v>
      </c>
      <c r="T17" s="9">
        <v>8</v>
      </c>
      <c r="U17" s="9">
        <v>1</v>
      </c>
      <c r="V17" s="9">
        <v>4.5</v>
      </c>
      <c r="W17" s="4">
        <f t="shared" si="4"/>
        <v>131.5</v>
      </c>
      <c r="Y17" s="9">
        <v>0</v>
      </c>
      <c r="Z17" s="9">
        <v>1</v>
      </c>
      <c r="AA17" s="9">
        <v>2</v>
      </c>
      <c r="AB17" s="9">
        <v>0</v>
      </c>
      <c r="AC17" s="9">
        <v>1</v>
      </c>
      <c r="AD17" s="9">
        <v>0.5</v>
      </c>
      <c r="AE17" s="9">
        <v>1</v>
      </c>
      <c r="AF17" s="9">
        <v>1</v>
      </c>
      <c r="AG17" s="9">
        <v>0</v>
      </c>
      <c r="AH17" s="9">
        <v>0</v>
      </c>
      <c r="AI17" s="9">
        <v>1</v>
      </c>
      <c r="AJ17" s="9">
        <v>1</v>
      </c>
      <c r="AK17" s="9">
        <v>0</v>
      </c>
      <c r="AL17" s="9">
        <v>0</v>
      </c>
      <c r="AM17" s="9">
        <v>0</v>
      </c>
      <c r="AN17" s="4">
        <f t="shared" si="5"/>
        <v>8.5</v>
      </c>
    </row>
    <row r="18" spans="1:40" x14ac:dyDescent="0.25">
      <c r="A18" s="26" t="s">
        <v>126</v>
      </c>
      <c r="B18" s="11" t="s">
        <v>75</v>
      </c>
      <c r="C18" s="12">
        <f t="shared" si="0"/>
        <v>130.5</v>
      </c>
      <c r="D18" s="12">
        <f t="shared" si="1"/>
        <v>290</v>
      </c>
      <c r="E18" s="13">
        <f t="shared" si="2"/>
        <v>0.45</v>
      </c>
      <c r="F18" s="14">
        <f t="shared" si="3"/>
        <v>18.5</v>
      </c>
      <c r="H18" s="9">
        <v>11.5</v>
      </c>
      <c r="I18" s="9">
        <v>10</v>
      </c>
      <c r="J18" s="9">
        <v>5.5</v>
      </c>
      <c r="K18" s="9">
        <v>10.5</v>
      </c>
      <c r="L18" s="9">
        <v>11</v>
      </c>
      <c r="M18" s="9">
        <v>7.5</v>
      </c>
      <c r="N18" s="9">
        <v>3</v>
      </c>
      <c r="O18" s="9">
        <v>13</v>
      </c>
      <c r="P18" s="9">
        <v>9</v>
      </c>
      <c r="Q18" s="9">
        <v>8</v>
      </c>
      <c r="R18" s="9">
        <v>9</v>
      </c>
      <c r="S18" s="9">
        <v>11</v>
      </c>
      <c r="T18" s="9">
        <v>9</v>
      </c>
      <c r="U18" s="9">
        <v>4</v>
      </c>
      <c r="V18" s="9">
        <v>8.5</v>
      </c>
      <c r="W18" s="4">
        <f t="shared" si="4"/>
        <v>130.5</v>
      </c>
      <c r="Y18" s="9">
        <v>1</v>
      </c>
      <c r="Z18" s="9">
        <v>1</v>
      </c>
      <c r="AA18" s="9">
        <v>1</v>
      </c>
      <c r="AB18" s="9">
        <v>1.5</v>
      </c>
      <c r="AC18" s="9">
        <v>1</v>
      </c>
      <c r="AD18" s="9">
        <v>1</v>
      </c>
      <c r="AE18" s="9">
        <v>1</v>
      </c>
      <c r="AF18" s="9">
        <v>1</v>
      </c>
      <c r="AG18" s="9">
        <v>2</v>
      </c>
      <c r="AH18" s="9">
        <v>1</v>
      </c>
      <c r="AI18" s="9">
        <v>1</v>
      </c>
      <c r="AJ18" s="9">
        <v>2</v>
      </c>
      <c r="AK18" s="9">
        <v>1</v>
      </c>
      <c r="AL18" s="9">
        <v>2</v>
      </c>
      <c r="AM18" s="9">
        <v>1</v>
      </c>
      <c r="AN18" s="4">
        <f t="shared" si="5"/>
        <v>18.5</v>
      </c>
    </row>
    <row r="19" spans="1:40" x14ac:dyDescent="0.25">
      <c r="A19" s="26" t="s">
        <v>127</v>
      </c>
      <c r="B19" s="11" t="s">
        <v>61</v>
      </c>
      <c r="C19" s="12">
        <f t="shared" si="0"/>
        <v>129.5</v>
      </c>
      <c r="D19" s="12">
        <f t="shared" si="1"/>
        <v>290</v>
      </c>
      <c r="E19" s="13">
        <f t="shared" si="2"/>
        <v>0.44655172413793104</v>
      </c>
      <c r="F19" s="14">
        <f t="shared" si="3"/>
        <v>18</v>
      </c>
      <c r="H19" s="9">
        <v>8.5</v>
      </c>
      <c r="I19" s="9">
        <v>13</v>
      </c>
      <c r="J19" s="9">
        <v>5.5</v>
      </c>
      <c r="K19" s="9">
        <v>12.5</v>
      </c>
      <c r="L19" s="9">
        <v>8</v>
      </c>
      <c r="M19" s="9">
        <v>8.5</v>
      </c>
      <c r="N19" s="9">
        <v>7</v>
      </c>
      <c r="O19" s="9">
        <v>12</v>
      </c>
      <c r="P19" s="9">
        <v>11</v>
      </c>
      <c r="Q19" s="9">
        <v>5</v>
      </c>
      <c r="R19" s="9">
        <v>8</v>
      </c>
      <c r="S19" s="9">
        <v>10</v>
      </c>
      <c r="T19" s="9">
        <v>9</v>
      </c>
      <c r="U19" s="9">
        <v>5</v>
      </c>
      <c r="V19" s="9">
        <v>6.5</v>
      </c>
      <c r="W19" s="4">
        <f t="shared" si="4"/>
        <v>129.5</v>
      </c>
      <c r="Y19" s="9">
        <v>1</v>
      </c>
      <c r="Z19" s="9">
        <v>2</v>
      </c>
      <c r="AA19" s="9">
        <v>1</v>
      </c>
      <c r="AB19" s="9">
        <v>2</v>
      </c>
      <c r="AC19" s="9">
        <v>1</v>
      </c>
      <c r="AD19" s="9">
        <v>1</v>
      </c>
      <c r="AE19" s="9">
        <v>1</v>
      </c>
      <c r="AF19" s="9">
        <v>1</v>
      </c>
      <c r="AG19" s="9">
        <v>2</v>
      </c>
      <c r="AH19" s="9">
        <v>0</v>
      </c>
      <c r="AI19" s="9">
        <v>1</v>
      </c>
      <c r="AJ19" s="9">
        <v>0</v>
      </c>
      <c r="AK19" s="9">
        <v>2</v>
      </c>
      <c r="AL19" s="9">
        <v>2</v>
      </c>
      <c r="AM19" s="9">
        <v>1</v>
      </c>
      <c r="AN19" s="4">
        <f t="shared" si="5"/>
        <v>18</v>
      </c>
    </row>
    <row r="20" spans="1:40" x14ac:dyDescent="0.25">
      <c r="A20" s="26" t="s">
        <v>128</v>
      </c>
      <c r="B20" s="11" t="s">
        <v>56</v>
      </c>
      <c r="C20" s="12">
        <f t="shared" si="0"/>
        <v>129.5</v>
      </c>
      <c r="D20" s="12">
        <f t="shared" si="1"/>
        <v>290</v>
      </c>
      <c r="E20" s="13">
        <f t="shared" si="2"/>
        <v>0.44655172413793104</v>
      </c>
      <c r="F20" s="14">
        <f t="shared" si="3"/>
        <v>12.5</v>
      </c>
      <c r="H20" s="9">
        <v>10.5</v>
      </c>
      <c r="I20" s="9">
        <v>13</v>
      </c>
      <c r="J20" s="9">
        <v>8.5</v>
      </c>
      <c r="K20" s="9">
        <v>7.5</v>
      </c>
      <c r="L20" s="9">
        <v>8</v>
      </c>
      <c r="M20" s="9">
        <v>10.5</v>
      </c>
      <c r="N20" s="9">
        <v>7</v>
      </c>
      <c r="O20" s="9">
        <v>7</v>
      </c>
      <c r="P20" s="9">
        <v>6</v>
      </c>
      <c r="Q20" s="9">
        <v>12</v>
      </c>
      <c r="R20" s="9">
        <v>9</v>
      </c>
      <c r="S20" s="9">
        <v>13</v>
      </c>
      <c r="T20" s="9">
        <v>7</v>
      </c>
      <c r="U20" s="9">
        <v>4</v>
      </c>
      <c r="V20" s="9">
        <v>6.5</v>
      </c>
      <c r="W20" s="4">
        <f t="shared" si="4"/>
        <v>129.5</v>
      </c>
      <c r="Y20" s="9">
        <v>0.5</v>
      </c>
      <c r="Z20" s="9">
        <v>2</v>
      </c>
      <c r="AA20" s="9">
        <v>1</v>
      </c>
      <c r="AB20" s="9">
        <v>0</v>
      </c>
      <c r="AC20" s="9">
        <v>1</v>
      </c>
      <c r="AD20" s="9">
        <v>1</v>
      </c>
      <c r="AE20" s="9">
        <v>1</v>
      </c>
      <c r="AF20" s="9">
        <v>0</v>
      </c>
      <c r="AG20" s="9">
        <v>0</v>
      </c>
      <c r="AH20" s="9">
        <v>1</v>
      </c>
      <c r="AI20" s="9">
        <v>0</v>
      </c>
      <c r="AJ20" s="9">
        <v>2</v>
      </c>
      <c r="AK20" s="9">
        <v>1</v>
      </c>
      <c r="AL20" s="9">
        <v>2</v>
      </c>
      <c r="AM20" s="9">
        <v>0</v>
      </c>
      <c r="AN20" s="4">
        <f t="shared" si="5"/>
        <v>12.5</v>
      </c>
    </row>
    <row r="21" spans="1:40" x14ac:dyDescent="0.25">
      <c r="A21" s="26" t="s">
        <v>129</v>
      </c>
      <c r="B21" s="11" t="s">
        <v>81</v>
      </c>
      <c r="C21" s="12">
        <f t="shared" si="0"/>
        <v>125.5</v>
      </c>
      <c r="D21" s="12">
        <f t="shared" si="1"/>
        <v>290</v>
      </c>
      <c r="E21" s="13">
        <f t="shared" si="2"/>
        <v>0.43275862068965515</v>
      </c>
      <c r="F21" s="14">
        <f t="shared" si="3"/>
        <v>13</v>
      </c>
      <c r="H21" s="9">
        <v>6.5</v>
      </c>
      <c r="I21" s="9">
        <v>8</v>
      </c>
      <c r="J21" s="9">
        <v>7.5</v>
      </c>
      <c r="K21" s="9">
        <v>11.5</v>
      </c>
      <c r="L21" s="9">
        <v>10</v>
      </c>
      <c r="M21" s="9">
        <v>11.5</v>
      </c>
      <c r="N21" s="9">
        <v>5</v>
      </c>
      <c r="O21" s="9">
        <v>10</v>
      </c>
      <c r="P21" s="9">
        <v>8</v>
      </c>
      <c r="Q21" s="9">
        <v>7</v>
      </c>
      <c r="R21" s="9">
        <v>9</v>
      </c>
      <c r="S21" s="9">
        <v>12</v>
      </c>
      <c r="T21" s="9">
        <v>9</v>
      </c>
      <c r="U21" s="9">
        <v>5</v>
      </c>
      <c r="V21" s="9">
        <v>5.5</v>
      </c>
      <c r="W21" s="4">
        <f t="shared" si="4"/>
        <v>125.5</v>
      </c>
      <c r="Y21" s="9">
        <v>1</v>
      </c>
      <c r="Z21" s="9">
        <v>1</v>
      </c>
      <c r="AA21" s="9">
        <v>0</v>
      </c>
      <c r="AB21" s="9">
        <v>1</v>
      </c>
      <c r="AC21" s="9">
        <v>1</v>
      </c>
      <c r="AD21" s="9">
        <v>1</v>
      </c>
      <c r="AE21" s="9">
        <v>1</v>
      </c>
      <c r="AF21" s="9">
        <v>1</v>
      </c>
      <c r="AG21" s="9">
        <v>1</v>
      </c>
      <c r="AH21" s="9">
        <v>1</v>
      </c>
      <c r="AI21" s="9">
        <v>1</v>
      </c>
      <c r="AJ21" s="9">
        <v>1</v>
      </c>
      <c r="AK21" s="9">
        <v>1</v>
      </c>
      <c r="AL21" s="9">
        <v>1</v>
      </c>
      <c r="AM21" s="9">
        <v>0</v>
      </c>
      <c r="AN21" s="4">
        <f t="shared" si="5"/>
        <v>13</v>
      </c>
    </row>
    <row r="22" spans="1:40" x14ac:dyDescent="0.25">
      <c r="A22" s="26" t="s">
        <v>130</v>
      </c>
      <c r="B22" s="11" t="s">
        <v>60</v>
      </c>
      <c r="C22" s="12">
        <f t="shared" si="0"/>
        <v>124.5</v>
      </c>
      <c r="D22" s="12">
        <f t="shared" si="1"/>
        <v>290</v>
      </c>
      <c r="E22" s="13">
        <f t="shared" si="2"/>
        <v>0.42931034482758623</v>
      </c>
      <c r="F22" s="14">
        <f t="shared" si="3"/>
        <v>16.5</v>
      </c>
      <c r="H22" s="9">
        <v>11.5</v>
      </c>
      <c r="I22" s="9">
        <v>11</v>
      </c>
      <c r="J22" s="9">
        <v>8.5</v>
      </c>
      <c r="K22" s="9">
        <v>10.5</v>
      </c>
      <c r="L22" s="9">
        <v>11</v>
      </c>
      <c r="M22" s="9">
        <v>8.5</v>
      </c>
      <c r="N22" s="9">
        <v>6</v>
      </c>
      <c r="O22" s="9">
        <v>11</v>
      </c>
      <c r="P22" s="9">
        <v>9</v>
      </c>
      <c r="Q22" s="9">
        <v>7</v>
      </c>
      <c r="R22" s="9">
        <v>8</v>
      </c>
      <c r="S22" s="9">
        <v>4</v>
      </c>
      <c r="T22" s="9">
        <v>9</v>
      </c>
      <c r="U22" s="9">
        <v>2</v>
      </c>
      <c r="V22" s="9">
        <v>7.5</v>
      </c>
      <c r="W22" s="4">
        <f t="shared" si="4"/>
        <v>124.5</v>
      </c>
      <c r="Y22" s="9">
        <v>2</v>
      </c>
      <c r="Z22" s="9">
        <v>1</v>
      </c>
      <c r="AA22" s="9">
        <v>1</v>
      </c>
      <c r="AB22" s="9">
        <v>1.5</v>
      </c>
      <c r="AC22" s="9">
        <v>0</v>
      </c>
      <c r="AD22" s="9">
        <v>2</v>
      </c>
      <c r="AE22" s="9">
        <v>0</v>
      </c>
      <c r="AF22" s="9">
        <v>1</v>
      </c>
      <c r="AG22" s="9">
        <v>0</v>
      </c>
      <c r="AH22" s="9">
        <v>2</v>
      </c>
      <c r="AI22" s="9">
        <v>1</v>
      </c>
      <c r="AJ22" s="9">
        <v>1</v>
      </c>
      <c r="AK22" s="9">
        <v>1</v>
      </c>
      <c r="AL22" s="9">
        <v>1</v>
      </c>
      <c r="AM22" s="9">
        <v>2</v>
      </c>
      <c r="AN22" s="4">
        <f t="shared" si="5"/>
        <v>16.5</v>
      </c>
    </row>
    <row r="23" spans="1:40" x14ac:dyDescent="0.25">
      <c r="A23" s="26" t="s">
        <v>131</v>
      </c>
      <c r="B23" s="11" t="s">
        <v>82</v>
      </c>
      <c r="C23" s="12">
        <f t="shared" si="0"/>
        <v>117.5</v>
      </c>
      <c r="D23" s="12">
        <f t="shared" si="1"/>
        <v>290</v>
      </c>
      <c r="E23" s="13">
        <f t="shared" si="2"/>
        <v>0.40517241379310343</v>
      </c>
      <c r="F23" s="14">
        <f t="shared" si="3"/>
        <v>11</v>
      </c>
      <c r="H23" s="9">
        <v>7.5</v>
      </c>
      <c r="I23" s="9">
        <v>7</v>
      </c>
      <c r="J23" s="9">
        <v>6.5</v>
      </c>
      <c r="K23" s="9">
        <v>15.5</v>
      </c>
      <c r="L23" s="9">
        <v>9</v>
      </c>
      <c r="M23" s="9">
        <v>9.5</v>
      </c>
      <c r="N23" s="9">
        <v>5</v>
      </c>
      <c r="O23" s="9">
        <v>8</v>
      </c>
      <c r="P23" s="9">
        <v>11</v>
      </c>
      <c r="Q23" s="9">
        <v>8</v>
      </c>
      <c r="R23" s="9">
        <v>5</v>
      </c>
      <c r="S23" s="9">
        <v>9</v>
      </c>
      <c r="T23" s="9">
        <v>11</v>
      </c>
      <c r="U23" s="9">
        <v>1</v>
      </c>
      <c r="V23" s="9">
        <v>4.5</v>
      </c>
      <c r="W23" s="4">
        <f t="shared" si="4"/>
        <v>117.5</v>
      </c>
      <c r="Y23" s="9">
        <v>1</v>
      </c>
      <c r="Z23" s="9">
        <v>0</v>
      </c>
      <c r="AA23" s="9">
        <v>0</v>
      </c>
      <c r="AB23" s="9">
        <v>1</v>
      </c>
      <c r="AC23" s="9">
        <v>1</v>
      </c>
      <c r="AD23" s="9">
        <v>1</v>
      </c>
      <c r="AE23" s="9">
        <v>0</v>
      </c>
      <c r="AF23" s="9">
        <v>1</v>
      </c>
      <c r="AG23" s="9">
        <v>2</v>
      </c>
      <c r="AH23" s="9">
        <v>0</v>
      </c>
      <c r="AI23" s="9">
        <v>0</v>
      </c>
      <c r="AJ23" s="9">
        <v>2</v>
      </c>
      <c r="AK23" s="9">
        <v>2</v>
      </c>
      <c r="AL23" s="9">
        <v>0</v>
      </c>
      <c r="AM23" s="9">
        <v>0</v>
      </c>
      <c r="AN23" s="4">
        <f t="shared" si="5"/>
        <v>11</v>
      </c>
    </row>
    <row r="24" spans="1:40" x14ac:dyDescent="0.25">
      <c r="A24" s="26" t="s">
        <v>356</v>
      </c>
      <c r="B24" s="11" t="s">
        <v>70</v>
      </c>
      <c r="C24" s="12">
        <f t="shared" si="0"/>
        <v>92</v>
      </c>
      <c r="D24" s="12">
        <v>240</v>
      </c>
      <c r="E24" s="13">
        <f t="shared" si="2"/>
        <v>0.38333333333333336</v>
      </c>
      <c r="F24" s="14">
        <f t="shared" si="3"/>
        <v>8</v>
      </c>
      <c r="H24" s="9">
        <v>8.5</v>
      </c>
      <c r="I24" s="9">
        <v>7</v>
      </c>
      <c r="J24" s="9">
        <v>8.5</v>
      </c>
      <c r="K24" s="9">
        <v>12.5</v>
      </c>
      <c r="L24" s="9">
        <v>11</v>
      </c>
      <c r="M24" s="9">
        <v>10.5</v>
      </c>
      <c r="N24" s="9">
        <v>2</v>
      </c>
      <c r="O24" s="9">
        <v>15</v>
      </c>
      <c r="P24" s="9">
        <v>4</v>
      </c>
      <c r="Q24" s="9">
        <v>5</v>
      </c>
      <c r="R24" s="9">
        <v>5</v>
      </c>
      <c r="S24" s="9">
        <v>3</v>
      </c>
      <c r="T24" s="15" t="s">
        <v>63</v>
      </c>
      <c r="U24" s="15" t="s">
        <v>63</v>
      </c>
      <c r="V24" s="15" t="s">
        <v>63</v>
      </c>
      <c r="W24" s="4">
        <f t="shared" si="4"/>
        <v>92</v>
      </c>
      <c r="Y24" s="9">
        <v>1</v>
      </c>
      <c r="Z24" s="9">
        <v>0</v>
      </c>
      <c r="AA24" s="9">
        <v>2</v>
      </c>
      <c r="AB24" s="9">
        <v>1</v>
      </c>
      <c r="AC24" s="9">
        <v>1</v>
      </c>
      <c r="AD24" s="9">
        <v>2</v>
      </c>
      <c r="AE24" s="9">
        <v>0</v>
      </c>
      <c r="AF24" s="9">
        <v>1</v>
      </c>
      <c r="AG24" s="9">
        <v>0</v>
      </c>
      <c r="AH24" s="9">
        <v>0</v>
      </c>
      <c r="AI24" s="9">
        <v>0</v>
      </c>
      <c r="AJ24" s="9">
        <v>0</v>
      </c>
      <c r="AK24" s="15" t="s">
        <v>63</v>
      </c>
      <c r="AL24" s="15" t="s">
        <v>63</v>
      </c>
      <c r="AM24" s="15" t="s">
        <v>63</v>
      </c>
      <c r="AN24" s="4">
        <f t="shared" si="5"/>
        <v>8</v>
      </c>
    </row>
    <row r="25" spans="1:40" x14ac:dyDescent="0.25">
      <c r="A25" s="26" t="s">
        <v>357</v>
      </c>
      <c r="B25" s="11" t="s">
        <v>78</v>
      </c>
      <c r="C25" s="12">
        <f t="shared" si="0"/>
        <v>76</v>
      </c>
      <c r="D25" s="12">
        <v>200</v>
      </c>
      <c r="E25" s="13">
        <f t="shared" si="2"/>
        <v>0.38</v>
      </c>
      <c r="F25" s="14">
        <f t="shared" si="3"/>
        <v>6</v>
      </c>
      <c r="H25" s="9">
        <v>9.5</v>
      </c>
      <c r="I25" s="9">
        <v>12</v>
      </c>
      <c r="J25" s="9">
        <v>7.5</v>
      </c>
      <c r="K25" s="9">
        <v>12.5</v>
      </c>
      <c r="L25" s="9">
        <v>9</v>
      </c>
      <c r="M25" s="9">
        <v>7.5</v>
      </c>
      <c r="N25" s="9">
        <v>2</v>
      </c>
      <c r="O25" s="9">
        <v>7</v>
      </c>
      <c r="P25" s="9">
        <v>4</v>
      </c>
      <c r="Q25" s="9">
        <v>5</v>
      </c>
      <c r="R25" s="15" t="s">
        <v>63</v>
      </c>
      <c r="S25" s="15" t="s">
        <v>63</v>
      </c>
      <c r="T25" s="15" t="s">
        <v>63</v>
      </c>
      <c r="U25" s="15" t="s">
        <v>63</v>
      </c>
      <c r="V25" s="15" t="s">
        <v>63</v>
      </c>
      <c r="W25" s="4">
        <f t="shared" si="4"/>
        <v>76</v>
      </c>
      <c r="Y25" s="9">
        <v>2</v>
      </c>
      <c r="Z25" s="9">
        <v>1</v>
      </c>
      <c r="AA25" s="9">
        <v>1</v>
      </c>
      <c r="AB25" s="9">
        <v>1</v>
      </c>
      <c r="AC25" s="9">
        <v>0</v>
      </c>
      <c r="AD25" s="9">
        <v>1</v>
      </c>
      <c r="AE25" s="9">
        <v>0</v>
      </c>
      <c r="AF25" s="9">
        <v>0</v>
      </c>
      <c r="AG25" s="9">
        <v>0</v>
      </c>
      <c r="AH25" s="9">
        <v>0</v>
      </c>
      <c r="AI25" s="15" t="s">
        <v>63</v>
      </c>
      <c r="AJ25" s="15" t="s">
        <v>63</v>
      </c>
      <c r="AK25" s="15" t="s">
        <v>63</v>
      </c>
      <c r="AL25" s="15" t="s">
        <v>63</v>
      </c>
      <c r="AM25" s="15" t="s">
        <v>63</v>
      </c>
      <c r="AN25" s="4">
        <f t="shared" si="5"/>
        <v>6</v>
      </c>
    </row>
    <row r="26" spans="1:40" x14ac:dyDescent="0.25">
      <c r="A26" s="26" t="s">
        <v>363</v>
      </c>
      <c r="B26" s="11" t="s">
        <v>76</v>
      </c>
      <c r="C26" s="12">
        <f t="shared" si="0"/>
        <v>72</v>
      </c>
      <c r="D26" s="12">
        <v>200</v>
      </c>
      <c r="E26" s="13">
        <f t="shared" si="2"/>
        <v>0.36</v>
      </c>
      <c r="F26" s="14">
        <f t="shared" si="3"/>
        <v>6.5</v>
      </c>
      <c r="H26" s="9">
        <v>5.5</v>
      </c>
      <c r="I26" s="9">
        <v>13</v>
      </c>
      <c r="J26" s="9">
        <v>6.5</v>
      </c>
      <c r="K26" s="9">
        <v>10.5</v>
      </c>
      <c r="L26" s="9">
        <v>7</v>
      </c>
      <c r="M26" s="9">
        <v>11.5</v>
      </c>
      <c r="N26" s="9">
        <v>2</v>
      </c>
      <c r="O26" s="9">
        <v>7</v>
      </c>
      <c r="P26" s="9">
        <v>4</v>
      </c>
      <c r="Q26" s="9">
        <v>5</v>
      </c>
      <c r="R26" s="15" t="s">
        <v>63</v>
      </c>
      <c r="S26" s="15" t="s">
        <v>63</v>
      </c>
      <c r="T26" s="15" t="s">
        <v>63</v>
      </c>
      <c r="U26" s="15" t="s">
        <v>63</v>
      </c>
      <c r="V26" s="15" t="s">
        <v>63</v>
      </c>
      <c r="W26" s="4">
        <f t="shared" si="4"/>
        <v>72</v>
      </c>
      <c r="Y26" s="9">
        <v>0</v>
      </c>
      <c r="Z26" s="9">
        <v>2</v>
      </c>
      <c r="AA26" s="9">
        <v>1</v>
      </c>
      <c r="AB26" s="9">
        <v>2</v>
      </c>
      <c r="AC26" s="9">
        <v>0</v>
      </c>
      <c r="AD26" s="9">
        <v>1.5</v>
      </c>
      <c r="AE26" s="9">
        <v>0</v>
      </c>
      <c r="AF26" s="9">
        <v>0</v>
      </c>
      <c r="AG26" s="9">
        <v>0</v>
      </c>
      <c r="AH26" s="9">
        <v>0</v>
      </c>
      <c r="AI26" s="15" t="s">
        <v>63</v>
      </c>
      <c r="AJ26" s="15" t="s">
        <v>63</v>
      </c>
      <c r="AK26" s="15" t="s">
        <v>63</v>
      </c>
      <c r="AL26" s="15" t="s">
        <v>63</v>
      </c>
      <c r="AM26" s="15" t="s">
        <v>63</v>
      </c>
      <c r="AN26" s="4">
        <f t="shared" si="5"/>
        <v>6.5</v>
      </c>
    </row>
    <row r="27" spans="1:40" x14ac:dyDescent="0.25">
      <c r="A27" s="26"/>
      <c r="B27" s="27"/>
      <c r="C27" s="17"/>
      <c r="D27" s="17"/>
      <c r="E27" s="18"/>
      <c r="F27" s="1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2"/>
      <c r="X27" s="31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32"/>
    </row>
    <row r="28" spans="1:40" ht="15.75" thickBot="1" x14ac:dyDescent="0.3">
      <c r="A28" s="26"/>
      <c r="B28" s="20" t="s">
        <v>106</v>
      </c>
      <c r="C28" s="21">
        <f>W28</f>
        <v>127.5</v>
      </c>
      <c r="D28" s="21">
        <f>$W$29</f>
        <v>290</v>
      </c>
      <c r="E28" s="22">
        <f>C28/D28</f>
        <v>0.43965517241379309</v>
      </c>
      <c r="F28" s="23">
        <f>AN28</f>
        <v>13</v>
      </c>
      <c r="H28" s="9">
        <v>8.5</v>
      </c>
      <c r="I28" s="9">
        <v>11</v>
      </c>
      <c r="J28" s="9">
        <v>7.5</v>
      </c>
      <c r="K28" s="9">
        <v>12.5</v>
      </c>
      <c r="L28" s="9">
        <v>9</v>
      </c>
      <c r="M28" s="9">
        <v>8.5</v>
      </c>
      <c r="N28" s="9">
        <v>4</v>
      </c>
      <c r="O28" s="9">
        <v>12</v>
      </c>
      <c r="P28" s="9">
        <v>8.5</v>
      </c>
      <c r="Q28" s="9">
        <v>8.5</v>
      </c>
      <c r="R28" s="9">
        <v>9</v>
      </c>
      <c r="S28" s="9">
        <v>11</v>
      </c>
      <c r="T28" s="9">
        <v>10</v>
      </c>
      <c r="U28" s="9">
        <v>4</v>
      </c>
      <c r="V28" s="9">
        <v>3.5</v>
      </c>
      <c r="W28" s="4">
        <f>SUM(H28:V28)</f>
        <v>127.5</v>
      </c>
      <c r="Y28" s="9">
        <v>1</v>
      </c>
      <c r="Z28" s="9">
        <v>1</v>
      </c>
      <c r="AA28" s="9">
        <v>1</v>
      </c>
      <c r="AB28" s="9">
        <v>0</v>
      </c>
      <c r="AC28" s="9">
        <v>0</v>
      </c>
      <c r="AD28" s="9">
        <v>1</v>
      </c>
      <c r="AE28" s="9">
        <v>1</v>
      </c>
      <c r="AF28" s="9">
        <v>1</v>
      </c>
      <c r="AG28" s="9">
        <v>0</v>
      </c>
      <c r="AH28" s="9">
        <v>2</v>
      </c>
      <c r="AI28" s="9">
        <v>1</v>
      </c>
      <c r="AJ28" s="9">
        <v>1</v>
      </c>
      <c r="AK28" s="9">
        <v>1</v>
      </c>
      <c r="AL28" s="9">
        <v>1</v>
      </c>
      <c r="AM28" s="9">
        <v>1</v>
      </c>
      <c r="AN28" s="4">
        <f>SUM(Y28:AM28)</f>
        <v>13</v>
      </c>
    </row>
    <row r="29" spans="1:40" x14ac:dyDescent="0.25">
      <c r="A29" s="28"/>
      <c r="C29" s="9"/>
      <c r="D29" s="9"/>
      <c r="E29" s="9"/>
      <c r="F29" s="9"/>
      <c r="H29" s="9">
        <v>20</v>
      </c>
      <c r="I29" s="9">
        <v>20</v>
      </c>
      <c r="J29" s="9">
        <v>17</v>
      </c>
      <c r="K29" s="9">
        <v>23</v>
      </c>
      <c r="L29" s="9">
        <v>20</v>
      </c>
      <c r="M29" s="9">
        <v>20</v>
      </c>
      <c r="N29" s="9">
        <v>20</v>
      </c>
      <c r="O29" s="9">
        <v>20</v>
      </c>
      <c r="P29" s="9">
        <v>20</v>
      </c>
      <c r="Q29" s="9">
        <v>20</v>
      </c>
      <c r="R29" s="9">
        <v>20</v>
      </c>
      <c r="S29" s="9">
        <v>20</v>
      </c>
      <c r="T29" s="9">
        <v>20</v>
      </c>
      <c r="U29" s="9">
        <v>7</v>
      </c>
      <c r="V29" s="9">
        <v>23</v>
      </c>
      <c r="W29" s="29">
        <f>SUM(H29:V29)</f>
        <v>290</v>
      </c>
      <c r="AN29" s="4"/>
    </row>
    <row r="30" spans="1:40" x14ac:dyDescent="0.25">
      <c r="A30" s="28"/>
      <c r="C30" s="9"/>
      <c r="D30" s="9"/>
      <c r="E30" s="9"/>
      <c r="F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AN30" s="4"/>
    </row>
    <row r="31" spans="1:40" x14ac:dyDescent="0.25">
      <c r="A31" s="28"/>
      <c r="B31" s="25" t="s">
        <v>64</v>
      </c>
      <c r="C31" s="12">
        <f>W31</f>
        <v>134</v>
      </c>
      <c r="D31" s="12">
        <f>$W$29</f>
        <v>290</v>
      </c>
      <c r="E31" s="13">
        <f>C31/D31</f>
        <v>0.46206896551724136</v>
      </c>
      <c r="F31" s="12">
        <f>AN31</f>
        <v>0</v>
      </c>
      <c r="H31" s="9">
        <v>9.5</v>
      </c>
      <c r="I31" s="9">
        <v>11</v>
      </c>
      <c r="J31" s="9">
        <v>7.5</v>
      </c>
      <c r="K31" s="9">
        <v>12.5</v>
      </c>
      <c r="L31" s="9">
        <v>10</v>
      </c>
      <c r="M31" s="9">
        <v>8.5</v>
      </c>
      <c r="N31" s="9">
        <v>5</v>
      </c>
      <c r="O31" s="9">
        <v>14</v>
      </c>
      <c r="P31" s="9">
        <v>10</v>
      </c>
      <c r="Q31" s="9">
        <v>8</v>
      </c>
      <c r="R31" s="9">
        <v>9</v>
      </c>
      <c r="S31" s="9">
        <v>11</v>
      </c>
      <c r="T31" s="9">
        <v>9</v>
      </c>
      <c r="U31" s="9">
        <v>5</v>
      </c>
      <c r="V31" s="9">
        <v>4</v>
      </c>
      <c r="W31" s="4">
        <f>SUM(H31:V31)</f>
        <v>134</v>
      </c>
      <c r="AN31" s="4"/>
    </row>
  </sheetData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35"/>
  <sheetViews>
    <sheetView workbookViewId="0">
      <selection activeCell="H1" sqref="H1"/>
    </sheetView>
  </sheetViews>
  <sheetFormatPr defaultColWidth="8.85546875" defaultRowHeight="15" x14ac:dyDescent="0.25"/>
  <cols>
    <col min="1" max="1" width="10" bestFit="1" customWidth="1"/>
    <col min="2" max="2" width="17.2851562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9" width="3.42578125" bestFit="1" customWidth="1"/>
    <col min="10" max="11" width="5" bestFit="1" customWidth="1"/>
    <col min="12" max="12" width="3.42578125" bestFit="1" customWidth="1"/>
    <col min="13" max="14" width="5" bestFit="1" customWidth="1"/>
    <col min="15" max="16" width="3.42578125" bestFit="1" customWidth="1"/>
    <col min="17" max="19" width="5" bestFit="1" customWidth="1"/>
    <col min="20" max="21" width="4.42578125" bestFit="1" customWidth="1"/>
    <col min="22" max="22" width="6.28515625" bestFit="1" customWidth="1"/>
    <col min="23" max="23" width="6" bestFit="1" customWidth="1"/>
    <col min="24" max="24" width="2.7109375" customWidth="1"/>
    <col min="25" max="26" width="3" bestFit="1" customWidth="1"/>
    <col min="27" max="28" width="4" bestFit="1" customWidth="1"/>
    <col min="29" max="30" width="3" bestFit="1" customWidth="1"/>
    <col min="31" max="31" width="4" bestFit="1" customWidth="1"/>
    <col min="32" max="33" width="3" bestFit="1" customWidth="1"/>
    <col min="34" max="38" width="4" bestFit="1" customWidth="1"/>
    <col min="39" max="39" width="6.28515625" bestFit="1" customWidth="1"/>
    <col min="40" max="40" width="5.42578125" bestFit="1" customWidth="1"/>
  </cols>
  <sheetData>
    <row r="1" spans="1:40" ht="19.5" thickBot="1" x14ac:dyDescent="0.35">
      <c r="A1" s="26"/>
      <c r="B1" s="30" t="s">
        <v>74</v>
      </c>
      <c r="C1" s="3"/>
      <c r="D1" s="3"/>
      <c r="E1" s="3"/>
      <c r="F1" s="3"/>
      <c r="W1" s="4"/>
      <c r="AN1" s="4"/>
    </row>
    <row r="2" spans="1:40" x14ac:dyDescent="0.25">
      <c r="A2" s="26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20</v>
      </c>
      <c r="W2" s="10" t="s">
        <v>2</v>
      </c>
      <c r="X2" s="9"/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20</v>
      </c>
      <c r="AN2" s="10" t="s">
        <v>2</v>
      </c>
    </row>
    <row r="3" spans="1:40" x14ac:dyDescent="0.25">
      <c r="A3" s="26" t="s">
        <v>111</v>
      </c>
      <c r="B3" s="11" t="s">
        <v>46</v>
      </c>
      <c r="C3" s="12">
        <v>151.5</v>
      </c>
      <c r="D3" s="12">
        <v>290</v>
      </c>
      <c r="E3" s="13">
        <v>0.52241379310344827</v>
      </c>
      <c r="F3" s="14">
        <v>13</v>
      </c>
      <c r="H3" s="9">
        <v>12</v>
      </c>
      <c r="I3" s="9">
        <v>10</v>
      </c>
      <c r="J3" s="9">
        <v>7.5</v>
      </c>
      <c r="K3" s="9">
        <v>10.5</v>
      </c>
      <c r="L3" s="9">
        <v>8</v>
      </c>
      <c r="M3" s="9">
        <v>12.5</v>
      </c>
      <c r="N3" s="9">
        <v>12.5</v>
      </c>
      <c r="O3" s="9">
        <v>14</v>
      </c>
      <c r="P3" s="9">
        <v>11</v>
      </c>
      <c r="Q3" s="9">
        <v>7.5</v>
      </c>
      <c r="R3" s="9">
        <v>10.5</v>
      </c>
      <c r="S3" s="9">
        <v>11</v>
      </c>
      <c r="T3" s="9">
        <v>11</v>
      </c>
      <c r="U3" s="9">
        <v>3.5</v>
      </c>
      <c r="V3" s="9">
        <v>10</v>
      </c>
      <c r="W3" s="4">
        <f t="shared" ref="W3:W30" si="0">SUM(H3:V3)</f>
        <v>151.5</v>
      </c>
      <c r="Y3" s="9">
        <v>1</v>
      </c>
      <c r="Z3" s="9">
        <v>1</v>
      </c>
      <c r="AA3" s="9">
        <v>2</v>
      </c>
      <c r="AB3" s="9">
        <v>0</v>
      </c>
      <c r="AC3" s="9">
        <v>2</v>
      </c>
      <c r="AD3" s="9">
        <v>1</v>
      </c>
      <c r="AE3" s="9">
        <v>1</v>
      </c>
      <c r="AF3" s="9">
        <v>1</v>
      </c>
      <c r="AG3" s="9">
        <v>1</v>
      </c>
      <c r="AH3" s="9">
        <v>0</v>
      </c>
      <c r="AI3" s="9">
        <v>1</v>
      </c>
      <c r="AJ3" s="9">
        <v>0</v>
      </c>
      <c r="AK3" s="9">
        <v>0</v>
      </c>
      <c r="AL3" s="9">
        <v>1</v>
      </c>
      <c r="AM3" s="9">
        <v>1</v>
      </c>
      <c r="AN3" s="4">
        <f t="shared" ref="AN3:AN30" si="1">SUM(Y3:AM3)</f>
        <v>13</v>
      </c>
    </row>
    <row r="4" spans="1:40" x14ac:dyDescent="0.25">
      <c r="A4" s="26" t="s">
        <v>112</v>
      </c>
      <c r="B4" s="11" t="s">
        <v>44</v>
      </c>
      <c r="C4" s="12">
        <v>149.5</v>
      </c>
      <c r="D4" s="12">
        <v>290</v>
      </c>
      <c r="E4" s="13">
        <v>0.51551724137931032</v>
      </c>
      <c r="F4" s="14">
        <v>17</v>
      </c>
      <c r="H4" s="9">
        <v>8</v>
      </c>
      <c r="I4" s="9">
        <v>8</v>
      </c>
      <c r="J4" s="9">
        <v>10.5</v>
      </c>
      <c r="K4" s="9">
        <v>10.5</v>
      </c>
      <c r="L4" s="9">
        <v>15</v>
      </c>
      <c r="M4" s="9">
        <v>8.5</v>
      </c>
      <c r="N4" s="9">
        <v>7.5</v>
      </c>
      <c r="O4" s="9">
        <v>13</v>
      </c>
      <c r="P4" s="9">
        <v>10</v>
      </c>
      <c r="Q4" s="9">
        <v>8.5</v>
      </c>
      <c r="R4" s="9">
        <v>11.5</v>
      </c>
      <c r="S4" s="9">
        <v>11</v>
      </c>
      <c r="T4" s="9">
        <v>10</v>
      </c>
      <c r="U4" s="9">
        <v>3.5</v>
      </c>
      <c r="V4" s="9">
        <v>14</v>
      </c>
      <c r="W4" s="4">
        <f t="shared" si="0"/>
        <v>149.5</v>
      </c>
      <c r="Y4" s="9">
        <v>1</v>
      </c>
      <c r="Z4" s="9">
        <v>1</v>
      </c>
      <c r="AA4" s="9">
        <v>0.5</v>
      </c>
      <c r="AB4" s="9">
        <v>1</v>
      </c>
      <c r="AC4" s="9">
        <v>2</v>
      </c>
      <c r="AD4" s="9">
        <v>1</v>
      </c>
      <c r="AE4" s="9">
        <v>1</v>
      </c>
      <c r="AF4" s="9">
        <v>2</v>
      </c>
      <c r="AG4" s="9">
        <v>1</v>
      </c>
      <c r="AH4" s="9">
        <v>2</v>
      </c>
      <c r="AI4" s="9">
        <v>1</v>
      </c>
      <c r="AJ4" s="9">
        <v>1</v>
      </c>
      <c r="AK4" s="9">
        <v>0</v>
      </c>
      <c r="AL4" s="9">
        <v>1.5</v>
      </c>
      <c r="AM4" s="9">
        <v>1</v>
      </c>
      <c r="AN4" s="4">
        <f t="shared" si="1"/>
        <v>17</v>
      </c>
    </row>
    <row r="5" spans="1:40" x14ac:dyDescent="0.25">
      <c r="A5" s="26" t="s">
        <v>113</v>
      </c>
      <c r="B5" s="11" t="s">
        <v>50</v>
      </c>
      <c r="C5" s="12">
        <v>149.5</v>
      </c>
      <c r="D5" s="12">
        <v>290</v>
      </c>
      <c r="E5" s="13">
        <v>0.51551724137931032</v>
      </c>
      <c r="F5" s="14">
        <v>15</v>
      </c>
      <c r="H5" s="9">
        <v>14</v>
      </c>
      <c r="I5" s="9">
        <v>10</v>
      </c>
      <c r="J5" s="9">
        <v>9.5</v>
      </c>
      <c r="K5" s="9">
        <v>10.5</v>
      </c>
      <c r="L5" s="9">
        <v>11</v>
      </c>
      <c r="M5" s="9">
        <v>9.5</v>
      </c>
      <c r="N5" s="9">
        <v>8.5</v>
      </c>
      <c r="O5" s="9">
        <v>14</v>
      </c>
      <c r="P5" s="9">
        <v>9</v>
      </c>
      <c r="Q5" s="9">
        <v>10.5</v>
      </c>
      <c r="R5" s="9">
        <v>10.5</v>
      </c>
      <c r="S5" s="9">
        <v>9</v>
      </c>
      <c r="T5" s="9">
        <v>10</v>
      </c>
      <c r="U5" s="9">
        <v>2.5</v>
      </c>
      <c r="V5" s="9">
        <v>11</v>
      </c>
      <c r="W5" s="4">
        <f t="shared" si="0"/>
        <v>149.5</v>
      </c>
      <c r="Y5" s="9">
        <v>1</v>
      </c>
      <c r="Z5" s="9">
        <v>1</v>
      </c>
      <c r="AA5" s="9">
        <v>1</v>
      </c>
      <c r="AB5" s="9">
        <v>0</v>
      </c>
      <c r="AC5" s="9">
        <v>1</v>
      </c>
      <c r="AD5" s="9">
        <v>0</v>
      </c>
      <c r="AE5" s="9">
        <v>0</v>
      </c>
      <c r="AF5" s="9">
        <v>2</v>
      </c>
      <c r="AG5" s="9">
        <v>1</v>
      </c>
      <c r="AH5" s="9">
        <v>0</v>
      </c>
      <c r="AI5" s="9">
        <v>2</v>
      </c>
      <c r="AJ5" s="9">
        <v>2</v>
      </c>
      <c r="AK5" s="9">
        <v>1</v>
      </c>
      <c r="AL5" s="9">
        <v>2</v>
      </c>
      <c r="AM5" s="9">
        <v>1</v>
      </c>
      <c r="AN5" s="4">
        <f t="shared" si="1"/>
        <v>15</v>
      </c>
    </row>
    <row r="6" spans="1:40" x14ac:dyDescent="0.25">
      <c r="A6" s="26" t="s">
        <v>114</v>
      </c>
      <c r="B6" s="11" t="s">
        <v>52</v>
      </c>
      <c r="C6" s="12">
        <v>147.5</v>
      </c>
      <c r="D6" s="12">
        <v>290</v>
      </c>
      <c r="E6" s="13">
        <v>0.50862068965517238</v>
      </c>
      <c r="F6" s="14">
        <v>18.5</v>
      </c>
      <c r="H6" s="9">
        <v>13</v>
      </c>
      <c r="I6" s="9">
        <v>10</v>
      </c>
      <c r="J6" s="9">
        <v>11.5</v>
      </c>
      <c r="K6" s="9">
        <v>8.5</v>
      </c>
      <c r="L6" s="9">
        <v>12</v>
      </c>
      <c r="M6" s="9">
        <v>9.5</v>
      </c>
      <c r="N6" s="9">
        <v>8.5</v>
      </c>
      <c r="O6" s="9">
        <v>13</v>
      </c>
      <c r="P6" s="9">
        <v>8</v>
      </c>
      <c r="Q6" s="9">
        <v>8.5</v>
      </c>
      <c r="R6" s="9">
        <v>10.5</v>
      </c>
      <c r="S6" s="9">
        <v>9</v>
      </c>
      <c r="T6" s="9">
        <v>11</v>
      </c>
      <c r="U6" s="9">
        <v>2.5</v>
      </c>
      <c r="V6" s="9">
        <v>12</v>
      </c>
      <c r="W6" s="4">
        <f t="shared" si="0"/>
        <v>147.5</v>
      </c>
      <c r="Y6" s="9">
        <v>2</v>
      </c>
      <c r="Z6" s="9">
        <v>2</v>
      </c>
      <c r="AA6" s="9">
        <v>0</v>
      </c>
      <c r="AB6" s="9">
        <v>1</v>
      </c>
      <c r="AC6" s="9">
        <v>1</v>
      </c>
      <c r="AD6" s="9">
        <v>2</v>
      </c>
      <c r="AE6" s="9">
        <v>1.5</v>
      </c>
      <c r="AF6" s="9">
        <v>1</v>
      </c>
      <c r="AG6" s="9">
        <v>1</v>
      </c>
      <c r="AH6" s="9">
        <v>2</v>
      </c>
      <c r="AI6" s="9">
        <v>1</v>
      </c>
      <c r="AJ6" s="9">
        <v>1</v>
      </c>
      <c r="AK6" s="9">
        <v>0</v>
      </c>
      <c r="AL6" s="9">
        <v>1</v>
      </c>
      <c r="AM6" s="9">
        <v>2</v>
      </c>
      <c r="AN6" s="4">
        <f t="shared" si="1"/>
        <v>18.5</v>
      </c>
    </row>
    <row r="7" spans="1:40" x14ac:dyDescent="0.25">
      <c r="A7" s="26" t="s">
        <v>115</v>
      </c>
      <c r="B7" s="11" t="s">
        <v>75</v>
      </c>
      <c r="C7" s="12">
        <v>147.5</v>
      </c>
      <c r="D7" s="12">
        <v>290</v>
      </c>
      <c r="E7" s="13">
        <v>0.50862068965517238</v>
      </c>
      <c r="F7" s="14">
        <v>12</v>
      </c>
      <c r="H7" s="9">
        <v>11</v>
      </c>
      <c r="I7" s="9">
        <v>7</v>
      </c>
      <c r="J7" s="9">
        <v>11.5</v>
      </c>
      <c r="K7" s="9">
        <v>6.5</v>
      </c>
      <c r="L7" s="9">
        <v>11</v>
      </c>
      <c r="M7" s="9">
        <v>9.5</v>
      </c>
      <c r="N7" s="9">
        <v>8.5</v>
      </c>
      <c r="O7" s="9">
        <v>11</v>
      </c>
      <c r="P7" s="9">
        <v>10</v>
      </c>
      <c r="Q7" s="9">
        <v>11.5</v>
      </c>
      <c r="R7" s="9">
        <v>9.5</v>
      </c>
      <c r="S7" s="9">
        <v>9</v>
      </c>
      <c r="T7" s="9">
        <v>12</v>
      </c>
      <c r="U7" s="9">
        <v>2.5</v>
      </c>
      <c r="V7" s="9">
        <v>17</v>
      </c>
      <c r="W7" s="4">
        <f t="shared" si="0"/>
        <v>147.5</v>
      </c>
      <c r="Y7" s="9">
        <v>1</v>
      </c>
      <c r="Z7" s="9">
        <v>0</v>
      </c>
      <c r="AA7" s="9">
        <v>0</v>
      </c>
      <c r="AB7" s="9">
        <v>1</v>
      </c>
      <c r="AC7" s="9">
        <v>2</v>
      </c>
      <c r="AD7" s="9">
        <v>0</v>
      </c>
      <c r="AE7" s="9">
        <v>0</v>
      </c>
      <c r="AF7" s="9">
        <v>1</v>
      </c>
      <c r="AG7" s="9">
        <v>1</v>
      </c>
      <c r="AH7" s="9">
        <v>0</v>
      </c>
      <c r="AI7" s="9">
        <v>2</v>
      </c>
      <c r="AJ7" s="9">
        <v>1</v>
      </c>
      <c r="AK7" s="9">
        <v>2</v>
      </c>
      <c r="AL7" s="9">
        <v>1</v>
      </c>
      <c r="AM7" s="9">
        <v>0</v>
      </c>
      <c r="AN7" s="4">
        <f t="shared" si="1"/>
        <v>12</v>
      </c>
    </row>
    <row r="8" spans="1:40" x14ac:dyDescent="0.25">
      <c r="A8" s="26" t="s">
        <v>116</v>
      </c>
      <c r="B8" s="11" t="s">
        <v>56</v>
      </c>
      <c r="C8" s="12">
        <v>146.5</v>
      </c>
      <c r="D8" s="12">
        <v>290</v>
      </c>
      <c r="E8" s="13">
        <v>0.5051724137931034</v>
      </c>
      <c r="F8" s="14">
        <v>19.5</v>
      </c>
      <c r="H8" s="9">
        <v>9</v>
      </c>
      <c r="I8" s="9">
        <v>12</v>
      </c>
      <c r="J8" s="9">
        <v>9.5</v>
      </c>
      <c r="K8" s="9">
        <v>10.5</v>
      </c>
      <c r="L8" s="9">
        <v>13</v>
      </c>
      <c r="M8" s="9">
        <v>10.5</v>
      </c>
      <c r="N8" s="9">
        <v>8.5</v>
      </c>
      <c r="O8" s="9">
        <v>12</v>
      </c>
      <c r="P8" s="9">
        <v>7</v>
      </c>
      <c r="Q8" s="9">
        <v>12.5</v>
      </c>
      <c r="R8" s="9">
        <v>9.5</v>
      </c>
      <c r="S8" s="9">
        <v>10</v>
      </c>
      <c r="T8" s="9">
        <v>9</v>
      </c>
      <c r="U8" s="9">
        <v>3.5</v>
      </c>
      <c r="V8" s="9">
        <v>10</v>
      </c>
      <c r="W8" s="4">
        <f t="shared" si="0"/>
        <v>146.5</v>
      </c>
      <c r="Y8" s="9">
        <v>2</v>
      </c>
      <c r="Z8" s="9">
        <v>1</v>
      </c>
      <c r="AA8" s="9">
        <v>2</v>
      </c>
      <c r="AB8" s="9">
        <v>1</v>
      </c>
      <c r="AC8" s="9">
        <v>1</v>
      </c>
      <c r="AD8" s="9">
        <v>2</v>
      </c>
      <c r="AE8" s="9">
        <v>2</v>
      </c>
      <c r="AF8" s="9">
        <v>1</v>
      </c>
      <c r="AG8" s="9">
        <v>1</v>
      </c>
      <c r="AH8" s="9">
        <v>1</v>
      </c>
      <c r="AI8" s="9">
        <v>1</v>
      </c>
      <c r="AJ8" s="9">
        <v>2</v>
      </c>
      <c r="AK8" s="9">
        <v>1</v>
      </c>
      <c r="AL8" s="9">
        <v>0.5</v>
      </c>
      <c r="AM8" s="9">
        <v>1</v>
      </c>
      <c r="AN8" s="4">
        <f t="shared" si="1"/>
        <v>19.5</v>
      </c>
    </row>
    <row r="9" spans="1:40" x14ac:dyDescent="0.25">
      <c r="A9" s="26" t="s">
        <v>117</v>
      </c>
      <c r="B9" s="11" t="s">
        <v>43</v>
      </c>
      <c r="C9" s="12">
        <v>146.5</v>
      </c>
      <c r="D9" s="12">
        <v>290</v>
      </c>
      <c r="E9" s="13">
        <v>0.5051724137931034</v>
      </c>
      <c r="F9" s="14">
        <v>17</v>
      </c>
      <c r="H9" s="9">
        <v>12</v>
      </c>
      <c r="I9" s="9">
        <v>6</v>
      </c>
      <c r="J9" s="9">
        <v>10.5</v>
      </c>
      <c r="K9" s="9">
        <v>9.5</v>
      </c>
      <c r="L9" s="9">
        <v>12</v>
      </c>
      <c r="M9" s="9">
        <v>8.5</v>
      </c>
      <c r="N9" s="9">
        <v>8.5</v>
      </c>
      <c r="O9" s="9">
        <v>11</v>
      </c>
      <c r="P9" s="9">
        <v>9</v>
      </c>
      <c r="Q9" s="9">
        <v>7.5</v>
      </c>
      <c r="R9" s="9">
        <v>10.5</v>
      </c>
      <c r="S9" s="9">
        <v>9</v>
      </c>
      <c r="T9" s="9">
        <v>13</v>
      </c>
      <c r="U9" s="9">
        <v>4.5</v>
      </c>
      <c r="V9" s="9">
        <v>15</v>
      </c>
      <c r="W9" s="4">
        <f t="shared" si="0"/>
        <v>146.5</v>
      </c>
      <c r="Y9" s="9">
        <v>2</v>
      </c>
      <c r="Z9" s="9">
        <v>1</v>
      </c>
      <c r="AA9" s="9">
        <v>1</v>
      </c>
      <c r="AB9" s="9">
        <v>0</v>
      </c>
      <c r="AC9" s="9">
        <v>2</v>
      </c>
      <c r="AD9" s="9">
        <v>1</v>
      </c>
      <c r="AE9" s="9">
        <v>2</v>
      </c>
      <c r="AF9" s="9">
        <v>2</v>
      </c>
      <c r="AG9" s="9">
        <v>0</v>
      </c>
      <c r="AH9" s="9">
        <v>0</v>
      </c>
      <c r="AI9" s="9">
        <v>1</v>
      </c>
      <c r="AJ9" s="9">
        <v>1</v>
      </c>
      <c r="AK9" s="9">
        <v>1</v>
      </c>
      <c r="AL9" s="9">
        <v>2</v>
      </c>
      <c r="AM9" s="9">
        <v>1</v>
      </c>
      <c r="AN9" s="4">
        <f t="shared" si="1"/>
        <v>17</v>
      </c>
    </row>
    <row r="10" spans="1:40" x14ac:dyDescent="0.25">
      <c r="A10" s="26" t="s">
        <v>118</v>
      </c>
      <c r="B10" s="11" t="s">
        <v>76</v>
      </c>
      <c r="C10" s="12">
        <v>146.5</v>
      </c>
      <c r="D10" s="12">
        <v>290</v>
      </c>
      <c r="E10" s="13">
        <v>0.5051724137931034</v>
      </c>
      <c r="F10" s="14">
        <v>16</v>
      </c>
      <c r="H10" s="9">
        <v>13</v>
      </c>
      <c r="I10" s="9">
        <v>10</v>
      </c>
      <c r="J10" s="9">
        <v>6.5</v>
      </c>
      <c r="K10" s="9">
        <v>12.5</v>
      </c>
      <c r="L10" s="9">
        <v>8</v>
      </c>
      <c r="M10" s="9">
        <v>9.5</v>
      </c>
      <c r="N10" s="9">
        <v>7.5</v>
      </c>
      <c r="O10" s="9">
        <v>15</v>
      </c>
      <c r="P10" s="9">
        <v>8</v>
      </c>
      <c r="Q10" s="9">
        <v>12.5</v>
      </c>
      <c r="R10" s="9">
        <v>9.5</v>
      </c>
      <c r="S10" s="9">
        <v>12</v>
      </c>
      <c r="T10" s="9">
        <v>10</v>
      </c>
      <c r="U10" s="9">
        <v>4.5</v>
      </c>
      <c r="V10" s="9">
        <v>8</v>
      </c>
      <c r="W10" s="4">
        <f t="shared" si="0"/>
        <v>146.5</v>
      </c>
      <c r="Y10" s="9">
        <v>2</v>
      </c>
      <c r="Z10" s="9">
        <v>1</v>
      </c>
      <c r="AA10" s="9">
        <v>1</v>
      </c>
      <c r="AB10" s="9">
        <v>1</v>
      </c>
      <c r="AC10" s="9">
        <v>1</v>
      </c>
      <c r="AD10" s="9">
        <v>1</v>
      </c>
      <c r="AE10" s="9">
        <v>0</v>
      </c>
      <c r="AF10" s="9">
        <v>1</v>
      </c>
      <c r="AG10" s="9">
        <v>0</v>
      </c>
      <c r="AH10" s="9">
        <v>1</v>
      </c>
      <c r="AI10" s="9">
        <v>1</v>
      </c>
      <c r="AJ10" s="9">
        <v>2</v>
      </c>
      <c r="AK10" s="9">
        <v>1</v>
      </c>
      <c r="AL10" s="9">
        <v>2</v>
      </c>
      <c r="AM10" s="9">
        <v>1</v>
      </c>
      <c r="AN10" s="4">
        <f t="shared" si="1"/>
        <v>16</v>
      </c>
    </row>
    <row r="11" spans="1:40" x14ac:dyDescent="0.25">
      <c r="A11" s="26" t="s">
        <v>119</v>
      </c>
      <c r="B11" s="11" t="s">
        <v>39</v>
      </c>
      <c r="C11" s="12">
        <v>146.5</v>
      </c>
      <c r="D11" s="12">
        <v>290</v>
      </c>
      <c r="E11" s="13">
        <v>0.5051724137931034</v>
      </c>
      <c r="F11" s="14">
        <v>15</v>
      </c>
      <c r="H11" s="9">
        <v>8</v>
      </c>
      <c r="I11" s="9">
        <v>10</v>
      </c>
      <c r="J11" s="9">
        <v>11.5</v>
      </c>
      <c r="K11" s="9">
        <v>11.5</v>
      </c>
      <c r="L11" s="9">
        <v>12</v>
      </c>
      <c r="M11" s="9">
        <v>9.5</v>
      </c>
      <c r="N11" s="9">
        <v>8.5</v>
      </c>
      <c r="O11" s="9">
        <v>8</v>
      </c>
      <c r="P11" s="9">
        <v>9</v>
      </c>
      <c r="Q11" s="9">
        <v>8.5</v>
      </c>
      <c r="R11" s="9">
        <v>10.5</v>
      </c>
      <c r="S11" s="9">
        <v>12</v>
      </c>
      <c r="T11" s="9">
        <v>11</v>
      </c>
      <c r="U11" s="9">
        <v>4.5</v>
      </c>
      <c r="V11" s="9">
        <v>12</v>
      </c>
      <c r="W11" s="4">
        <f t="shared" si="0"/>
        <v>146.5</v>
      </c>
      <c r="Y11" s="9">
        <v>1</v>
      </c>
      <c r="Z11" s="9">
        <v>2</v>
      </c>
      <c r="AA11" s="9">
        <v>2</v>
      </c>
      <c r="AB11" s="9">
        <v>0</v>
      </c>
      <c r="AC11" s="9">
        <v>0</v>
      </c>
      <c r="AD11" s="9">
        <v>2</v>
      </c>
      <c r="AE11" s="9">
        <v>1</v>
      </c>
      <c r="AF11" s="9">
        <v>1</v>
      </c>
      <c r="AG11" s="9">
        <v>1</v>
      </c>
      <c r="AH11" s="9">
        <v>1</v>
      </c>
      <c r="AI11" s="9">
        <v>0</v>
      </c>
      <c r="AJ11" s="9">
        <v>2</v>
      </c>
      <c r="AK11" s="9">
        <v>0</v>
      </c>
      <c r="AL11" s="9">
        <v>0</v>
      </c>
      <c r="AM11" s="9">
        <v>2</v>
      </c>
      <c r="AN11" s="4">
        <f t="shared" si="1"/>
        <v>15</v>
      </c>
    </row>
    <row r="12" spans="1:40" x14ac:dyDescent="0.25">
      <c r="A12" s="26" t="s">
        <v>120</v>
      </c>
      <c r="B12" s="11" t="s">
        <v>51</v>
      </c>
      <c r="C12" s="12">
        <v>145.5</v>
      </c>
      <c r="D12" s="12">
        <v>290</v>
      </c>
      <c r="E12" s="13">
        <v>0.50172413793103443</v>
      </c>
      <c r="F12" s="14">
        <v>18</v>
      </c>
      <c r="H12" s="9">
        <v>14</v>
      </c>
      <c r="I12" s="9">
        <v>9</v>
      </c>
      <c r="J12" s="9">
        <v>11.5</v>
      </c>
      <c r="K12" s="9">
        <v>8.5</v>
      </c>
      <c r="L12" s="9">
        <v>12</v>
      </c>
      <c r="M12" s="9">
        <v>8.5</v>
      </c>
      <c r="N12" s="9">
        <v>7.5</v>
      </c>
      <c r="O12" s="9">
        <v>13</v>
      </c>
      <c r="P12" s="9">
        <v>9</v>
      </c>
      <c r="Q12" s="9">
        <v>7.5</v>
      </c>
      <c r="R12" s="9">
        <v>10.5</v>
      </c>
      <c r="S12" s="9">
        <v>9</v>
      </c>
      <c r="T12" s="9">
        <v>11</v>
      </c>
      <c r="U12" s="9">
        <v>2.5</v>
      </c>
      <c r="V12" s="9">
        <v>12</v>
      </c>
      <c r="W12" s="4">
        <f t="shared" si="0"/>
        <v>145.5</v>
      </c>
      <c r="Y12" s="9">
        <v>1</v>
      </c>
      <c r="Z12" s="9">
        <v>1</v>
      </c>
      <c r="AA12" s="9">
        <v>0</v>
      </c>
      <c r="AB12" s="9">
        <v>1</v>
      </c>
      <c r="AC12" s="9">
        <v>2</v>
      </c>
      <c r="AD12" s="9">
        <v>1</v>
      </c>
      <c r="AE12" s="9">
        <v>1</v>
      </c>
      <c r="AF12" s="9">
        <v>2</v>
      </c>
      <c r="AG12" s="9">
        <v>2</v>
      </c>
      <c r="AH12" s="9">
        <v>0</v>
      </c>
      <c r="AI12" s="9">
        <v>1</v>
      </c>
      <c r="AJ12" s="9">
        <v>1</v>
      </c>
      <c r="AK12" s="9">
        <v>1</v>
      </c>
      <c r="AL12" s="9">
        <v>1</v>
      </c>
      <c r="AM12" s="9">
        <v>3</v>
      </c>
      <c r="AN12" s="4">
        <f t="shared" si="1"/>
        <v>18</v>
      </c>
    </row>
    <row r="13" spans="1:40" x14ac:dyDescent="0.25">
      <c r="A13" s="26" t="s">
        <v>121</v>
      </c>
      <c r="B13" s="11" t="s">
        <v>55</v>
      </c>
      <c r="C13" s="12">
        <v>144.5</v>
      </c>
      <c r="D13" s="12">
        <v>290</v>
      </c>
      <c r="E13" s="13">
        <v>0.49827586206896551</v>
      </c>
      <c r="F13" s="14">
        <v>14.5</v>
      </c>
      <c r="H13" s="9">
        <v>10</v>
      </c>
      <c r="I13" s="9">
        <v>10</v>
      </c>
      <c r="J13" s="9">
        <v>11.5</v>
      </c>
      <c r="K13" s="9">
        <v>10.5</v>
      </c>
      <c r="L13" s="9">
        <v>15</v>
      </c>
      <c r="M13" s="9">
        <v>10.5</v>
      </c>
      <c r="N13" s="9">
        <v>6.5</v>
      </c>
      <c r="O13" s="9">
        <v>8</v>
      </c>
      <c r="P13" s="9">
        <v>10</v>
      </c>
      <c r="Q13" s="9">
        <v>10.5</v>
      </c>
      <c r="R13" s="9">
        <v>10.5</v>
      </c>
      <c r="S13" s="9">
        <v>9</v>
      </c>
      <c r="T13" s="9">
        <v>10</v>
      </c>
      <c r="U13" s="9">
        <v>3.5</v>
      </c>
      <c r="V13" s="9">
        <v>9</v>
      </c>
      <c r="W13" s="4">
        <f t="shared" si="0"/>
        <v>144.5</v>
      </c>
      <c r="Y13" s="9">
        <v>1</v>
      </c>
      <c r="Z13" s="9">
        <v>1</v>
      </c>
      <c r="AA13" s="9">
        <v>2</v>
      </c>
      <c r="AB13" s="9">
        <v>1</v>
      </c>
      <c r="AC13" s="9">
        <v>1</v>
      </c>
      <c r="AD13" s="9">
        <v>1</v>
      </c>
      <c r="AE13" s="9">
        <v>0.5</v>
      </c>
      <c r="AF13" s="9">
        <v>0</v>
      </c>
      <c r="AG13" s="9">
        <v>1</v>
      </c>
      <c r="AH13" s="9">
        <v>0</v>
      </c>
      <c r="AI13" s="9">
        <v>1</v>
      </c>
      <c r="AJ13" s="9">
        <v>2</v>
      </c>
      <c r="AK13" s="9">
        <v>1</v>
      </c>
      <c r="AL13" s="9">
        <v>1</v>
      </c>
      <c r="AM13" s="9">
        <v>1</v>
      </c>
      <c r="AN13" s="4">
        <f t="shared" si="1"/>
        <v>14.5</v>
      </c>
    </row>
    <row r="14" spans="1:40" x14ac:dyDescent="0.25">
      <c r="A14" s="26" t="s">
        <v>122</v>
      </c>
      <c r="B14" s="11" t="s">
        <v>60</v>
      </c>
      <c r="C14" s="12">
        <v>144.5</v>
      </c>
      <c r="D14" s="12">
        <v>290</v>
      </c>
      <c r="E14" s="13">
        <v>0.49827586206896551</v>
      </c>
      <c r="F14" s="14">
        <v>14</v>
      </c>
      <c r="H14" s="9">
        <v>13</v>
      </c>
      <c r="I14" s="9">
        <v>8</v>
      </c>
      <c r="J14" s="9">
        <v>10.5</v>
      </c>
      <c r="K14" s="9">
        <v>7.5</v>
      </c>
      <c r="L14" s="9">
        <v>11</v>
      </c>
      <c r="M14" s="9">
        <v>10.5</v>
      </c>
      <c r="N14" s="9">
        <v>10.5</v>
      </c>
      <c r="O14" s="9">
        <v>13</v>
      </c>
      <c r="P14" s="9">
        <v>8</v>
      </c>
      <c r="Q14" s="9">
        <v>9.5</v>
      </c>
      <c r="R14" s="9">
        <v>8.5</v>
      </c>
      <c r="S14" s="9">
        <v>10</v>
      </c>
      <c r="T14" s="9">
        <v>9</v>
      </c>
      <c r="U14" s="9">
        <v>3.5</v>
      </c>
      <c r="V14" s="9">
        <v>12</v>
      </c>
      <c r="W14" s="4">
        <f t="shared" si="0"/>
        <v>144.5</v>
      </c>
      <c r="Y14" s="9">
        <v>1</v>
      </c>
      <c r="Z14" s="9">
        <v>1</v>
      </c>
      <c r="AA14" s="9">
        <v>2</v>
      </c>
      <c r="AB14" s="9">
        <v>1</v>
      </c>
      <c r="AC14" s="9">
        <v>1</v>
      </c>
      <c r="AD14" s="9">
        <v>0</v>
      </c>
      <c r="AE14" s="9">
        <v>0</v>
      </c>
      <c r="AF14" s="9">
        <v>2</v>
      </c>
      <c r="AG14" s="9">
        <v>0</v>
      </c>
      <c r="AH14" s="9">
        <v>2</v>
      </c>
      <c r="AI14" s="9">
        <v>0</v>
      </c>
      <c r="AJ14" s="9">
        <v>0</v>
      </c>
      <c r="AK14" s="9">
        <v>0</v>
      </c>
      <c r="AL14" s="9">
        <v>2</v>
      </c>
      <c r="AM14" s="9">
        <v>2</v>
      </c>
      <c r="AN14" s="4">
        <f t="shared" si="1"/>
        <v>14</v>
      </c>
    </row>
    <row r="15" spans="1:40" x14ac:dyDescent="0.25">
      <c r="A15" s="26" t="s">
        <v>123</v>
      </c>
      <c r="B15" s="11" t="s">
        <v>48</v>
      </c>
      <c r="C15" s="12">
        <v>144.5</v>
      </c>
      <c r="D15" s="12">
        <v>290</v>
      </c>
      <c r="E15" s="13">
        <v>0.49827586206896551</v>
      </c>
      <c r="F15" s="14">
        <v>13</v>
      </c>
      <c r="H15" s="9">
        <v>15</v>
      </c>
      <c r="I15" s="9">
        <v>8</v>
      </c>
      <c r="J15" s="9">
        <v>11.5</v>
      </c>
      <c r="K15" s="9">
        <v>8.5</v>
      </c>
      <c r="L15" s="9">
        <v>12</v>
      </c>
      <c r="M15" s="9">
        <v>7.5</v>
      </c>
      <c r="N15" s="9">
        <v>6.5</v>
      </c>
      <c r="O15" s="9">
        <v>12</v>
      </c>
      <c r="P15" s="9">
        <v>8</v>
      </c>
      <c r="Q15" s="9">
        <v>9.5</v>
      </c>
      <c r="R15" s="9">
        <v>10.5</v>
      </c>
      <c r="S15" s="9">
        <v>10</v>
      </c>
      <c r="T15" s="9">
        <v>10</v>
      </c>
      <c r="U15" s="9">
        <v>3.5</v>
      </c>
      <c r="V15" s="9">
        <v>12</v>
      </c>
      <c r="W15" s="4">
        <f t="shared" si="0"/>
        <v>144.5</v>
      </c>
      <c r="Y15" s="9">
        <v>2</v>
      </c>
      <c r="Z15" s="9">
        <v>1</v>
      </c>
      <c r="AA15" s="9">
        <v>1</v>
      </c>
      <c r="AB15" s="9">
        <v>0</v>
      </c>
      <c r="AC15" s="9">
        <v>0</v>
      </c>
      <c r="AD15" s="9">
        <v>0</v>
      </c>
      <c r="AE15" s="9">
        <v>0</v>
      </c>
      <c r="AF15" s="9">
        <v>2</v>
      </c>
      <c r="AG15" s="9">
        <v>1</v>
      </c>
      <c r="AH15" s="9">
        <v>1</v>
      </c>
      <c r="AI15" s="9">
        <v>2</v>
      </c>
      <c r="AJ15" s="9">
        <v>1</v>
      </c>
      <c r="AK15" s="9">
        <v>0</v>
      </c>
      <c r="AL15" s="9">
        <v>2</v>
      </c>
      <c r="AM15" s="9">
        <v>0</v>
      </c>
      <c r="AN15" s="4">
        <f t="shared" si="1"/>
        <v>13</v>
      </c>
    </row>
    <row r="16" spans="1:40" x14ac:dyDescent="0.25">
      <c r="A16" s="26" t="s">
        <v>124</v>
      </c>
      <c r="B16" s="11" t="s">
        <v>45</v>
      </c>
      <c r="C16" s="12">
        <v>142.5</v>
      </c>
      <c r="D16" s="12">
        <v>290</v>
      </c>
      <c r="E16" s="13">
        <v>0.49137931034482757</v>
      </c>
      <c r="F16" s="14">
        <v>17</v>
      </c>
      <c r="H16" s="9">
        <v>12</v>
      </c>
      <c r="I16" s="9">
        <v>8</v>
      </c>
      <c r="J16" s="9">
        <v>10.5</v>
      </c>
      <c r="K16" s="9">
        <v>12.5</v>
      </c>
      <c r="L16" s="9">
        <v>8</v>
      </c>
      <c r="M16" s="9">
        <v>10.5</v>
      </c>
      <c r="N16" s="9">
        <v>6.5</v>
      </c>
      <c r="O16" s="9">
        <v>7</v>
      </c>
      <c r="P16" s="9">
        <v>10</v>
      </c>
      <c r="Q16" s="9">
        <v>11.5</v>
      </c>
      <c r="R16" s="9">
        <v>10.5</v>
      </c>
      <c r="S16" s="9">
        <v>13</v>
      </c>
      <c r="T16" s="9">
        <v>5</v>
      </c>
      <c r="U16" s="9">
        <v>2.5</v>
      </c>
      <c r="V16" s="9">
        <v>15</v>
      </c>
      <c r="W16" s="4">
        <f t="shared" si="0"/>
        <v>142.5</v>
      </c>
      <c r="Y16" s="9">
        <v>1</v>
      </c>
      <c r="Z16" s="9">
        <v>2</v>
      </c>
      <c r="AA16" s="9">
        <v>1</v>
      </c>
      <c r="AB16" s="9">
        <v>1</v>
      </c>
      <c r="AC16" s="9">
        <v>1</v>
      </c>
      <c r="AD16" s="9">
        <v>1</v>
      </c>
      <c r="AE16" s="9">
        <v>1</v>
      </c>
      <c r="AF16" s="9">
        <v>0</v>
      </c>
      <c r="AG16" s="9">
        <v>1</v>
      </c>
      <c r="AH16" s="9">
        <v>1</v>
      </c>
      <c r="AI16" s="9">
        <v>1</v>
      </c>
      <c r="AJ16" s="9">
        <v>2</v>
      </c>
      <c r="AK16" s="9">
        <v>0</v>
      </c>
      <c r="AL16" s="9">
        <v>1</v>
      </c>
      <c r="AM16" s="9">
        <v>3</v>
      </c>
      <c r="AN16" s="4">
        <f t="shared" si="1"/>
        <v>17</v>
      </c>
    </row>
    <row r="17" spans="1:40" x14ac:dyDescent="0.25">
      <c r="A17" s="26" t="s">
        <v>125</v>
      </c>
      <c r="B17" s="11" t="s">
        <v>77</v>
      </c>
      <c r="C17" s="12">
        <v>142.5</v>
      </c>
      <c r="D17" s="12">
        <v>290</v>
      </c>
      <c r="E17" s="13">
        <v>0.49137931034482757</v>
      </c>
      <c r="F17" s="14">
        <v>16</v>
      </c>
      <c r="H17" s="9">
        <v>13</v>
      </c>
      <c r="I17" s="9">
        <v>9</v>
      </c>
      <c r="J17" s="9">
        <v>8.5</v>
      </c>
      <c r="K17" s="9">
        <v>12.5</v>
      </c>
      <c r="L17" s="9">
        <v>12</v>
      </c>
      <c r="M17" s="9">
        <v>10.5</v>
      </c>
      <c r="N17" s="9">
        <v>8.5</v>
      </c>
      <c r="O17" s="9">
        <v>12</v>
      </c>
      <c r="P17" s="9">
        <v>6</v>
      </c>
      <c r="Q17" s="9">
        <v>9.5</v>
      </c>
      <c r="R17" s="9">
        <v>7.5</v>
      </c>
      <c r="S17" s="9">
        <v>11</v>
      </c>
      <c r="T17" s="9">
        <v>9</v>
      </c>
      <c r="U17" s="9">
        <v>2.5</v>
      </c>
      <c r="V17" s="9">
        <v>11</v>
      </c>
      <c r="W17" s="4">
        <f t="shared" si="0"/>
        <v>142.5</v>
      </c>
      <c r="Y17" s="9">
        <v>2</v>
      </c>
      <c r="Z17" s="9">
        <v>1</v>
      </c>
      <c r="AA17" s="9">
        <v>1</v>
      </c>
      <c r="AB17" s="9">
        <v>2</v>
      </c>
      <c r="AC17" s="9">
        <v>2</v>
      </c>
      <c r="AD17" s="9">
        <v>1</v>
      </c>
      <c r="AE17" s="9">
        <v>0</v>
      </c>
      <c r="AF17" s="9">
        <v>0</v>
      </c>
      <c r="AG17" s="9">
        <v>0</v>
      </c>
      <c r="AH17" s="9">
        <v>1</v>
      </c>
      <c r="AI17" s="9">
        <v>1</v>
      </c>
      <c r="AJ17" s="9">
        <v>2</v>
      </c>
      <c r="AK17" s="9">
        <v>0</v>
      </c>
      <c r="AL17" s="9">
        <v>1</v>
      </c>
      <c r="AM17" s="9">
        <v>2</v>
      </c>
      <c r="AN17" s="4">
        <f t="shared" si="1"/>
        <v>16</v>
      </c>
    </row>
    <row r="18" spans="1:40" x14ac:dyDescent="0.25">
      <c r="A18" s="26" t="s">
        <v>126</v>
      </c>
      <c r="B18" s="11" t="s">
        <v>53</v>
      </c>
      <c r="C18" s="12">
        <v>141.5</v>
      </c>
      <c r="D18" s="12">
        <v>290</v>
      </c>
      <c r="E18" s="13">
        <v>0.4879310344827586</v>
      </c>
      <c r="F18" s="14">
        <v>14.5</v>
      </c>
      <c r="H18" s="9">
        <v>14</v>
      </c>
      <c r="I18" s="9">
        <v>14</v>
      </c>
      <c r="J18" s="9">
        <v>12.5</v>
      </c>
      <c r="K18" s="9">
        <v>10.5</v>
      </c>
      <c r="L18" s="9">
        <v>5</v>
      </c>
      <c r="M18" s="9">
        <v>12.5</v>
      </c>
      <c r="N18" s="9">
        <v>6.5</v>
      </c>
      <c r="O18" s="9">
        <v>10</v>
      </c>
      <c r="P18" s="9">
        <v>7</v>
      </c>
      <c r="Q18" s="9">
        <v>10.5</v>
      </c>
      <c r="R18" s="9">
        <v>6.5</v>
      </c>
      <c r="S18" s="9">
        <v>8</v>
      </c>
      <c r="T18" s="9">
        <v>11</v>
      </c>
      <c r="U18" s="9">
        <v>2.5</v>
      </c>
      <c r="V18" s="9">
        <v>11</v>
      </c>
      <c r="W18" s="4">
        <f t="shared" si="0"/>
        <v>141.5</v>
      </c>
      <c r="Y18" s="9">
        <v>2</v>
      </c>
      <c r="Z18" s="9">
        <v>2</v>
      </c>
      <c r="AA18" s="9">
        <v>1</v>
      </c>
      <c r="AB18" s="9">
        <v>1</v>
      </c>
      <c r="AC18" s="9">
        <v>0</v>
      </c>
      <c r="AD18" s="9">
        <v>2</v>
      </c>
      <c r="AE18" s="9">
        <v>1</v>
      </c>
      <c r="AF18" s="9">
        <v>1</v>
      </c>
      <c r="AG18" s="9">
        <v>0</v>
      </c>
      <c r="AH18" s="9">
        <v>1.5</v>
      </c>
      <c r="AI18" s="9">
        <v>0</v>
      </c>
      <c r="AJ18" s="9">
        <v>0</v>
      </c>
      <c r="AK18" s="9">
        <v>1</v>
      </c>
      <c r="AL18" s="9">
        <v>0</v>
      </c>
      <c r="AM18" s="9">
        <v>2</v>
      </c>
      <c r="AN18" s="4">
        <f t="shared" si="1"/>
        <v>14.5</v>
      </c>
    </row>
    <row r="19" spans="1:40" x14ac:dyDescent="0.25">
      <c r="A19" s="26" t="s">
        <v>127</v>
      </c>
      <c r="B19" s="11" t="s">
        <v>79</v>
      </c>
      <c r="C19" s="12">
        <v>140.5</v>
      </c>
      <c r="D19" s="12">
        <v>290</v>
      </c>
      <c r="E19" s="13">
        <v>0.48448275862068968</v>
      </c>
      <c r="F19" s="14">
        <v>10</v>
      </c>
      <c r="H19" s="9">
        <v>12</v>
      </c>
      <c r="I19" s="9">
        <v>6</v>
      </c>
      <c r="J19" s="9">
        <v>10.5</v>
      </c>
      <c r="K19" s="9">
        <v>9.5</v>
      </c>
      <c r="L19" s="9">
        <v>11</v>
      </c>
      <c r="M19" s="9">
        <v>10.5</v>
      </c>
      <c r="N19" s="9">
        <v>7.5</v>
      </c>
      <c r="O19" s="9">
        <v>15</v>
      </c>
      <c r="P19" s="9">
        <v>9</v>
      </c>
      <c r="Q19" s="9">
        <v>5.5</v>
      </c>
      <c r="R19" s="9">
        <v>10.5</v>
      </c>
      <c r="S19" s="9">
        <v>11</v>
      </c>
      <c r="T19" s="9">
        <v>12</v>
      </c>
      <c r="U19" s="9">
        <v>3.5</v>
      </c>
      <c r="V19" s="9">
        <v>7</v>
      </c>
      <c r="W19" s="4">
        <f t="shared" si="0"/>
        <v>140.5</v>
      </c>
      <c r="Y19" s="9">
        <v>1</v>
      </c>
      <c r="Z19" s="9">
        <v>0</v>
      </c>
      <c r="AA19" s="9">
        <v>1</v>
      </c>
      <c r="AB19" s="9">
        <v>0</v>
      </c>
      <c r="AC19" s="9">
        <v>1</v>
      </c>
      <c r="AD19" s="9">
        <v>0</v>
      </c>
      <c r="AE19" s="9">
        <v>1</v>
      </c>
      <c r="AF19" s="9">
        <v>1</v>
      </c>
      <c r="AG19" s="9">
        <v>1</v>
      </c>
      <c r="AH19" s="9">
        <v>0</v>
      </c>
      <c r="AI19" s="9">
        <v>1</v>
      </c>
      <c r="AJ19" s="9">
        <v>2</v>
      </c>
      <c r="AK19" s="9">
        <v>1</v>
      </c>
      <c r="AL19" s="9">
        <v>0</v>
      </c>
      <c r="AM19" s="9">
        <v>0</v>
      </c>
      <c r="AN19" s="4">
        <f t="shared" si="1"/>
        <v>10</v>
      </c>
    </row>
    <row r="20" spans="1:40" x14ac:dyDescent="0.25">
      <c r="A20" s="26" t="s">
        <v>128</v>
      </c>
      <c r="B20" s="11" t="s">
        <v>54</v>
      </c>
      <c r="C20" s="12">
        <v>139.5</v>
      </c>
      <c r="D20" s="12">
        <v>290</v>
      </c>
      <c r="E20" s="13">
        <v>0.48103448275862071</v>
      </c>
      <c r="F20" s="14">
        <v>17</v>
      </c>
      <c r="H20" s="9">
        <v>11</v>
      </c>
      <c r="I20" s="9">
        <v>7</v>
      </c>
      <c r="J20" s="9">
        <v>11.5</v>
      </c>
      <c r="K20" s="9">
        <v>7.5</v>
      </c>
      <c r="L20" s="9">
        <v>13</v>
      </c>
      <c r="M20" s="9">
        <v>10.5</v>
      </c>
      <c r="N20" s="9">
        <v>7.5</v>
      </c>
      <c r="O20" s="9">
        <v>11</v>
      </c>
      <c r="P20" s="9">
        <v>7</v>
      </c>
      <c r="Q20" s="9">
        <v>6.5</v>
      </c>
      <c r="R20" s="9">
        <v>13.5</v>
      </c>
      <c r="S20" s="9">
        <v>12</v>
      </c>
      <c r="T20" s="9">
        <v>4</v>
      </c>
      <c r="U20" s="9">
        <v>4.5</v>
      </c>
      <c r="V20" s="9">
        <v>13</v>
      </c>
      <c r="W20" s="4">
        <f t="shared" si="0"/>
        <v>139.5</v>
      </c>
      <c r="Y20" s="9">
        <v>2</v>
      </c>
      <c r="Z20" s="9">
        <v>0</v>
      </c>
      <c r="AA20" s="9">
        <v>1</v>
      </c>
      <c r="AB20" s="9">
        <v>1</v>
      </c>
      <c r="AC20" s="9">
        <v>1</v>
      </c>
      <c r="AD20" s="9">
        <v>1</v>
      </c>
      <c r="AE20" s="9">
        <v>1</v>
      </c>
      <c r="AF20" s="9">
        <v>1</v>
      </c>
      <c r="AG20" s="9">
        <v>0</v>
      </c>
      <c r="AH20" s="9">
        <v>2</v>
      </c>
      <c r="AI20" s="9">
        <v>2</v>
      </c>
      <c r="AJ20" s="9">
        <v>2</v>
      </c>
      <c r="AK20" s="9">
        <v>0</v>
      </c>
      <c r="AL20" s="9">
        <v>1</v>
      </c>
      <c r="AM20" s="9">
        <v>2</v>
      </c>
      <c r="AN20" s="4">
        <f t="shared" si="1"/>
        <v>17</v>
      </c>
    </row>
    <row r="21" spans="1:40" x14ac:dyDescent="0.25">
      <c r="A21" s="26" t="s">
        <v>129</v>
      </c>
      <c r="B21" s="11" t="s">
        <v>78</v>
      </c>
      <c r="C21" s="12">
        <v>138.5</v>
      </c>
      <c r="D21" s="12">
        <v>290</v>
      </c>
      <c r="E21" s="13">
        <v>0.47758620689655173</v>
      </c>
      <c r="F21" s="14">
        <v>16.5</v>
      </c>
      <c r="H21" s="9">
        <v>13</v>
      </c>
      <c r="I21" s="9">
        <v>5</v>
      </c>
      <c r="J21" s="9">
        <v>11.5</v>
      </c>
      <c r="K21" s="9">
        <v>7.5</v>
      </c>
      <c r="L21" s="9">
        <v>9</v>
      </c>
      <c r="M21" s="9">
        <v>9.5</v>
      </c>
      <c r="N21" s="9">
        <v>10.5</v>
      </c>
      <c r="O21" s="9">
        <v>6</v>
      </c>
      <c r="P21" s="9">
        <v>9</v>
      </c>
      <c r="Q21" s="9">
        <v>9.5</v>
      </c>
      <c r="R21" s="9">
        <v>10.5</v>
      </c>
      <c r="S21" s="9">
        <v>10</v>
      </c>
      <c r="T21" s="9">
        <v>12</v>
      </c>
      <c r="U21" s="9">
        <v>4.5</v>
      </c>
      <c r="V21" s="9">
        <v>11</v>
      </c>
      <c r="W21" s="4">
        <f t="shared" si="0"/>
        <v>138.5</v>
      </c>
      <c r="Y21" s="9">
        <v>2</v>
      </c>
      <c r="Z21" s="9">
        <v>0</v>
      </c>
      <c r="AA21" s="9">
        <v>2</v>
      </c>
      <c r="AB21" s="9">
        <v>2</v>
      </c>
      <c r="AC21" s="9">
        <v>1</v>
      </c>
      <c r="AD21" s="9">
        <v>0</v>
      </c>
      <c r="AE21" s="9">
        <v>1</v>
      </c>
      <c r="AF21" s="9">
        <v>2</v>
      </c>
      <c r="AG21" s="9">
        <v>0</v>
      </c>
      <c r="AH21" s="9">
        <v>0</v>
      </c>
      <c r="AI21" s="9">
        <v>0</v>
      </c>
      <c r="AJ21" s="9">
        <v>1</v>
      </c>
      <c r="AK21" s="9">
        <v>1</v>
      </c>
      <c r="AL21" s="9">
        <v>1.5</v>
      </c>
      <c r="AM21" s="9">
        <v>3</v>
      </c>
      <c r="AN21" s="4">
        <f t="shared" si="1"/>
        <v>16.5</v>
      </c>
    </row>
    <row r="22" spans="1:40" x14ac:dyDescent="0.25">
      <c r="A22" s="26" t="s">
        <v>130</v>
      </c>
      <c r="B22" s="11" t="s">
        <v>62</v>
      </c>
      <c r="C22" s="12">
        <v>138.5</v>
      </c>
      <c r="D22" s="12">
        <v>290</v>
      </c>
      <c r="E22" s="13">
        <v>0.47758620689655173</v>
      </c>
      <c r="F22" s="14">
        <v>15.5</v>
      </c>
      <c r="H22" s="9">
        <v>10</v>
      </c>
      <c r="I22" s="9">
        <v>4</v>
      </c>
      <c r="J22" s="9">
        <v>8.5</v>
      </c>
      <c r="K22" s="9">
        <v>9.5</v>
      </c>
      <c r="L22" s="9">
        <v>9</v>
      </c>
      <c r="M22" s="9">
        <v>9.5</v>
      </c>
      <c r="N22" s="9">
        <v>11.5</v>
      </c>
      <c r="O22" s="9">
        <v>7</v>
      </c>
      <c r="P22" s="9">
        <v>10</v>
      </c>
      <c r="Q22" s="9">
        <v>10.5</v>
      </c>
      <c r="R22" s="9">
        <v>10.5</v>
      </c>
      <c r="S22" s="9">
        <v>13</v>
      </c>
      <c r="T22" s="9">
        <v>9</v>
      </c>
      <c r="U22" s="9">
        <v>1.5</v>
      </c>
      <c r="V22" s="9">
        <v>15</v>
      </c>
      <c r="W22" s="4">
        <f t="shared" si="0"/>
        <v>138.5</v>
      </c>
      <c r="Y22" s="9">
        <v>2</v>
      </c>
      <c r="Z22" s="9">
        <v>0</v>
      </c>
      <c r="AA22" s="9">
        <v>1</v>
      </c>
      <c r="AB22" s="9">
        <v>1</v>
      </c>
      <c r="AC22" s="9">
        <v>1</v>
      </c>
      <c r="AD22" s="9">
        <v>1</v>
      </c>
      <c r="AE22" s="9">
        <v>1</v>
      </c>
      <c r="AF22" s="9">
        <v>0</v>
      </c>
      <c r="AG22" s="9">
        <v>1</v>
      </c>
      <c r="AH22" s="9">
        <v>2</v>
      </c>
      <c r="AI22" s="9">
        <v>1</v>
      </c>
      <c r="AJ22" s="9">
        <v>2</v>
      </c>
      <c r="AK22" s="9">
        <v>1</v>
      </c>
      <c r="AL22" s="9">
        <v>0.5</v>
      </c>
      <c r="AM22" s="9">
        <v>1</v>
      </c>
      <c r="AN22" s="4">
        <f t="shared" si="1"/>
        <v>15.5</v>
      </c>
    </row>
    <row r="23" spans="1:40" x14ac:dyDescent="0.25">
      <c r="A23" s="26" t="s">
        <v>131</v>
      </c>
      <c r="B23" s="11" t="s">
        <v>40</v>
      </c>
      <c r="C23" s="12">
        <v>137.5</v>
      </c>
      <c r="D23" s="12">
        <v>290</v>
      </c>
      <c r="E23" s="13">
        <v>0.47413793103448276</v>
      </c>
      <c r="F23" s="14">
        <v>15</v>
      </c>
      <c r="H23" s="9">
        <v>8</v>
      </c>
      <c r="I23" s="9">
        <v>9</v>
      </c>
      <c r="J23" s="9">
        <v>7.5</v>
      </c>
      <c r="K23" s="9">
        <v>9.5</v>
      </c>
      <c r="L23" s="9">
        <v>11</v>
      </c>
      <c r="M23" s="9">
        <v>8.5</v>
      </c>
      <c r="N23" s="9">
        <v>11.5</v>
      </c>
      <c r="O23" s="9">
        <v>10</v>
      </c>
      <c r="P23" s="9">
        <v>10</v>
      </c>
      <c r="Q23" s="9">
        <v>5.5</v>
      </c>
      <c r="R23" s="9">
        <v>12.5</v>
      </c>
      <c r="S23" s="9">
        <v>11</v>
      </c>
      <c r="T23" s="9">
        <v>8</v>
      </c>
      <c r="U23" s="9">
        <v>3.5</v>
      </c>
      <c r="V23" s="9">
        <v>12</v>
      </c>
      <c r="W23" s="4">
        <f t="shared" si="0"/>
        <v>137.5</v>
      </c>
      <c r="Y23" s="9">
        <v>1</v>
      </c>
      <c r="Z23" s="9">
        <v>1</v>
      </c>
      <c r="AA23" s="9">
        <v>0</v>
      </c>
      <c r="AB23" s="9">
        <v>0</v>
      </c>
      <c r="AC23" s="9">
        <v>2</v>
      </c>
      <c r="AD23" s="9">
        <v>2</v>
      </c>
      <c r="AE23" s="9">
        <v>1</v>
      </c>
      <c r="AF23" s="9">
        <v>2</v>
      </c>
      <c r="AG23" s="9">
        <v>1</v>
      </c>
      <c r="AH23" s="9">
        <v>0</v>
      </c>
      <c r="AI23" s="9">
        <v>1</v>
      </c>
      <c r="AJ23" s="9">
        <v>0</v>
      </c>
      <c r="AK23" s="9">
        <v>1</v>
      </c>
      <c r="AL23" s="9">
        <v>0</v>
      </c>
      <c r="AM23" s="9">
        <v>3</v>
      </c>
      <c r="AN23" s="4">
        <f t="shared" si="1"/>
        <v>15</v>
      </c>
    </row>
    <row r="24" spans="1:40" x14ac:dyDescent="0.25">
      <c r="A24" s="26" t="s">
        <v>132</v>
      </c>
      <c r="B24" s="11" t="s">
        <v>47</v>
      </c>
      <c r="C24" s="12">
        <v>134.5</v>
      </c>
      <c r="D24" s="12">
        <v>290</v>
      </c>
      <c r="E24" s="13">
        <v>0.46379310344827585</v>
      </c>
      <c r="F24" s="14">
        <v>17</v>
      </c>
      <c r="H24" s="9">
        <v>13</v>
      </c>
      <c r="I24" s="9">
        <v>9</v>
      </c>
      <c r="J24" s="9">
        <v>8.5</v>
      </c>
      <c r="K24" s="9">
        <v>7.5</v>
      </c>
      <c r="L24" s="9">
        <v>9</v>
      </c>
      <c r="M24" s="9">
        <v>11.5</v>
      </c>
      <c r="N24" s="9">
        <v>7.5</v>
      </c>
      <c r="O24" s="9">
        <v>12</v>
      </c>
      <c r="P24" s="9">
        <v>10</v>
      </c>
      <c r="Q24" s="9">
        <v>8.5</v>
      </c>
      <c r="R24" s="9">
        <v>8.5</v>
      </c>
      <c r="S24" s="9">
        <v>9</v>
      </c>
      <c r="T24" s="9">
        <v>10</v>
      </c>
      <c r="U24" s="9">
        <v>2.5</v>
      </c>
      <c r="V24" s="9">
        <v>8</v>
      </c>
      <c r="W24" s="4">
        <f t="shared" si="0"/>
        <v>134.5</v>
      </c>
      <c r="Y24" s="9">
        <v>1</v>
      </c>
      <c r="Z24" s="9">
        <v>2</v>
      </c>
      <c r="AA24" s="9">
        <v>1</v>
      </c>
      <c r="AB24" s="9">
        <v>1</v>
      </c>
      <c r="AC24" s="9">
        <v>1</v>
      </c>
      <c r="AD24" s="9">
        <v>1</v>
      </c>
      <c r="AE24" s="9">
        <v>2</v>
      </c>
      <c r="AF24" s="9">
        <v>0</v>
      </c>
      <c r="AG24" s="9">
        <v>1</v>
      </c>
      <c r="AH24" s="9">
        <v>2</v>
      </c>
      <c r="AI24" s="9">
        <v>0</v>
      </c>
      <c r="AJ24" s="9">
        <v>1</v>
      </c>
      <c r="AK24" s="9">
        <v>1</v>
      </c>
      <c r="AL24" s="9">
        <v>1</v>
      </c>
      <c r="AM24" s="9">
        <v>2</v>
      </c>
      <c r="AN24" s="4">
        <f t="shared" si="1"/>
        <v>17</v>
      </c>
    </row>
    <row r="25" spans="1:40" x14ac:dyDescent="0.25">
      <c r="A25" s="26" t="s">
        <v>133</v>
      </c>
      <c r="B25" s="11" t="s">
        <v>68</v>
      </c>
      <c r="C25" s="12">
        <v>134.5</v>
      </c>
      <c r="D25" s="12">
        <v>290</v>
      </c>
      <c r="E25" s="13">
        <v>0.46379310344827585</v>
      </c>
      <c r="F25" s="14">
        <v>14</v>
      </c>
      <c r="H25" s="9">
        <v>10</v>
      </c>
      <c r="I25" s="9">
        <v>9</v>
      </c>
      <c r="J25" s="9">
        <v>12.5</v>
      </c>
      <c r="K25" s="9">
        <v>6.5</v>
      </c>
      <c r="L25" s="9">
        <v>9</v>
      </c>
      <c r="M25" s="9">
        <v>7.5</v>
      </c>
      <c r="N25" s="9">
        <v>8.5</v>
      </c>
      <c r="O25" s="9">
        <v>8</v>
      </c>
      <c r="P25" s="9">
        <v>7</v>
      </c>
      <c r="Q25" s="9">
        <v>7.5</v>
      </c>
      <c r="R25" s="9">
        <v>11.5</v>
      </c>
      <c r="S25" s="9">
        <v>12</v>
      </c>
      <c r="T25" s="9">
        <v>10</v>
      </c>
      <c r="U25" s="9">
        <v>3.5</v>
      </c>
      <c r="V25" s="9">
        <v>12</v>
      </c>
      <c r="W25" s="4">
        <f t="shared" si="0"/>
        <v>134.5</v>
      </c>
      <c r="Y25" s="9">
        <v>2</v>
      </c>
      <c r="Z25" s="9">
        <v>2</v>
      </c>
      <c r="AA25" s="9">
        <v>2</v>
      </c>
      <c r="AB25" s="9">
        <v>0.5</v>
      </c>
      <c r="AC25" s="9">
        <v>1</v>
      </c>
      <c r="AD25" s="9">
        <v>1</v>
      </c>
      <c r="AE25" s="9">
        <v>0</v>
      </c>
      <c r="AF25" s="9">
        <v>0</v>
      </c>
      <c r="AG25" s="9">
        <v>0</v>
      </c>
      <c r="AH25" s="9">
        <v>1</v>
      </c>
      <c r="AI25" s="9">
        <v>0</v>
      </c>
      <c r="AJ25" s="9">
        <v>1</v>
      </c>
      <c r="AK25" s="9">
        <v>0</v>
      </c>
      <c r="AL25" s="9">
        <v>1.5</v>
      </c>
      <c r="AM25" s="9">
        <v>2</v>
      </c>
      <c r="AN25" s="4">
        <f t="shared" si="1"/>
        <v>14</v>
      </c>
    </row>
    <row r="26" spans="1:40" x14ac:dyDescent="0.25">
      <c r="A26" s="26" t="s">
        <v>134</v>
      </c>
      <c r="B26" s="11" t="s">
        <v>70</v>
      </c>
      <c r="C26" s="12">
        <v>129.5</v>
      </c>
      <c r="D26" s="12">
        <v>290</v>
      </c>
      <c r="E26" s="13">
        <v>0.44655172413793104</v>
      </c>
      <c r="F26" s="14">
        <v>11</v>
      </c>
      <c r="H26" s="9">
        <v>14</v>
      </c>
      <c r="I26" s="9">
        <v>7</v>
      </c>
      <c r="J26" s="9">
        <v>5.5</v>
      </c>
      <c r="K26" s="9">
        <v>10.5</v>
      </c>
      <c r="L26" s="9">
        <v>10</v>
      </c>
      <c r="M26" s="9">
        <v>6.5</v>
      </c>
      <c r="N26" s="9">
        <v>9.5</v>
      </c>
      <c r="O26" s="9">
        <v>8</v>
      </c>
      <c r="P26" s="9">
        <v>8</v>
      </c>
      <c r="Q26" s="9">
        <v>5.5</v>
      </c>
      <c r="R26" s="9">
        <v>6.5</v>
      </c>
      <c r="S26" s="9">
        <v>14</v>
      </c>
      <c r="T26" s="9">
        <v>11</v>
      </c>
      <c r="U26" s="9">
        <v>0.5</v>
      </c>
      <c r="V26" s="9">
        <v>13</v>
      </c>
      <c r="W26" s="4">
        <f t="shared" si="0"/>
        <v>129.5</v>
      </c>
      <c r="Y26" s="9">
        <v>2</v>
      </c>
      <c r="Z26" s="9">
        <v>1</v>
      </c>
      <c r="AA26" s="9">
        <v>0</v>
      </c>
      <c r="AB26" s="9">
        <v>1</v>
      </c>
      <c r="AC26" s="9">
        <v>2</v>
      </c>
      <c r="AD26" s="9">
        <v>0</v>
      </c>
      <c r="AE26" s="9">
        <v>1</v>
      </c>
      <c r="AF26" s="9">
        <v>1</v>
      </c>
      <c r="AG26" s="9">
        <v>1</v>
      </c>
      <c r="AH26" s="9">
        <v>0</v>
      </c>
      <c r="AI26" s="9">
        <v>0</v>
      </c>
      <c r="AJ26" s="9">
        <v>1</v>
      </c>
      <c r="AK26" s="9">
        <v>1</v>
      </c>
      <c r="AL26" s="9">
        <v>0</v>
      </c>
      <c r="AM26" s="9">
        <v>0</v>
      </c>
      <c r="AN26" s="4">
        <f t="shared" si="1"/>
        <v>11</v>
      </c>
    </row>
    <row r="27" spans="1:40" x14ac:dyDescent="0.25">
      <c r="A27" s="26" t="s">
        <v>360</v>
      </c>
      <c r="B27" s="11" t="s">
        <v>42</v>
      </c>
      <c r="C27" s="12">
        <v>126.5</v>
      </c>
      <c r="D27" s="12">
        <v>252</v>
      </c>
      <c r="E27" s="13">
        <v>0.50198412698412698</v>
      </c>
      <c r="F27" s="14">
        <v>13</v>
      </c>
      <c r="H27" s="15" t="s">
        <v>63</v>
      </c>
      <c r="I27" s="15" t="s">
        <v>63</v>
      </c>
      <c r="J27" s="9">
        <v>10.5</v>
      </c>
      <c r="K27" s="9">
        <v>11.5</v>
      </c>
      <c r="L27" s="9">
        <v>11</v>
      </c>
      <c r="M27" s="9">
        <v>8.5</v>
      </c>
      <c r="N27" s="9">
        <v>8.5</v>
      </c>
      <c r="O27" s="9">
        <v>12</v>
      </c>
      <c r="P27" s="9">
        <v>7</v>
      </c>
      <c r="Q27" s="9">
        <v>10.5</v>
      </c>
      <c r="R27" s="9">
        <v>9.5</v>
      </c>
      <c r="S27" s="9">
        <v>9</v>
      </c>
      <c r="T27" s="9">
        <v>13</v>
      </c>
      <c r="U27" s="9">
        <v>4.5</v>
      </c>
      <c r="V27" s="9">
        <v>11</v>
      </c>
      <c r="W27" s="4">
        <f t="shared" si="0"/>
        <v>126.5</v>
      </c>
      <c r="Y27" s="15" t="s">
        <v>63</v>
      </c>
      <c r="Z27" s="15" t="s">
        <v>63</v>
      </c>
      <c r="AA27" s="9">
        <v>1</v>
      </c>
      <c r="AB27" s="9">
        <v>2</v>
      </c>
      <c r="AC27" s="9">
        <v>2</v>
      </c>
      <c r="AD27" s="9">
        <v>0</v>
      </c>
      <c r="AE27" s="9">
        <v>2</v>
      </c>
      <c r="AF27" s="9">
        <v>2</v>
      </c>
      <c r="AG27" s="9">
        <v>1</v>
      </c>
      <c r="AH27" s="9">
        <v>0</v>
      </c>
      <c r="AI27" s="9">
        <v>0</v>
      </c>
      <c r="AJ27" s="9">
        <v>1</v>
      </c>
      <c r="AK27" s="9">
        <v>1</v>
      </c>
      <c r="AL27" s="9">
        <v>1</v>
      </c>
      <c r="AM27" s="9">
        <v>0</v>
      </c>
      <c r="AN27" s="4">
        <f t="shared" si="1"/>
        <v>13</v>
      </c>
    </row>
    <row r="28" spans="1:40" x14ac:dyDescent="0.25">
      <c r="A28" s="26" t="s">
        <v>136</v>
      </c>
      <c r="B28" s="11" t="s">
        <v>66</v>
      </c>
      <c r="C28" s="12">
        <v>111.5</v>
      </c>
      <c r="D28" s="12">
        <v>290</v>
      </c>
      <c r="E28" s="13">
        <v>0.38448275862068965</v>
      </c>
      <c r="F28" s="14">
        <v>11</v>
      </c>
      <c r="H28" s="9">
        <v>11</v>
      </c>
      <c r="I28" s="9">
        <v>4</v>
      </c>
      <c r="J28" s="9">
        <v>8.5</v>
      </c>
      <c r="K28" s="9">
        <v>11.5</v>
      </c>
      <c r="L28" s="9">
        <v>7</v>
      </c>
      <c r="M28" s="9">
        <v>9.5</v>
      </c>
      <c r="N28" s="9">
        <v>5.5</v>
      </c>
      <c r="O28" s="9">
        <v>8</v>
      </c>
      <c r="P28" s="9">
        <v>6</v>
      </c>
      <c r="Q28" s="9">
        <v>9.5</v>
      </c>
      <c r="R28" s="9">
        <v>6.5</v>
      </c>
      <c r="S28" s="9">
        <v>13</v>
      </c>
      <c r="T28" s="9">
        <v>4</v>
      </c>
      <c r="U28" s="9">
        <v>0.5</v>
      </c>
      <c r="V28" s="9">
        <v>7</v>
      </c>
      <c r="W28" s="4">
        <f t="shared" si="0"/>
        <v>111.5</v>
      </c>
      <c r="Y28" s="9">
        <v>2</v>
      </c>
      <c r="Z28" s="9">
        <v>0</v>
      </c>
      <c r="AA28" s="9">
        <v>0</v>
      </c>
      <c r="AB28" s="9">
        <v>1</v>
      </c>
      <c r="AC28" s="9">
        <v>1</v>
      </c>
      <c r="AD28" s="9">
        <v>2</v>
      </c>
      <c r="AE28" s="9">
        <v>0</v>
      </c>
      <c r="AF28" s="9">
        <v>1</v>
      </c>
      <c r="AG28" s="9">
        <v>1</v>
      </c>
      <c r="AH28" s="9">
        <v>2</v>
      </c>
      <c r="AI28" s="9">
        <v>0</v>
      </c>
      <c r="AJ28" s="9">
        <v>1</v>
      </c>
      <c r="AK28" s="9">
        <v>0</v>
      </c>
      <c r="AL28" s="9">
        <v>0</v>
      </c>
      <c r="AM28" s="9">
        <v>0</v>
      </c>
      <c r="AN28" s="4">
        <f t="shared" si="1"/>
        <v>11</v>
      </c>
    </row>
    <row r="29" spans="1:40" x14ac:dyDescent="0.25">
      <c r="A29" s="26" t="s">
        <v>361</v>
      </c>
      <c r="B29" s="11" t="s">
        <v>61</v>
      </c>
      <c r="C29" s="12">
        <v>102.5</v>
      </c>
      <c r="D29" s="12">
        <v>210</v>
      </c>
      <c r="E29" s="13">
        <v>0.48809523809523808</v>
      </c>
      <c r="F29" s="14">
        <v>10</v>
      </c>
      <c r="H29" s="15" t="s">
        <v>63</v>
      </c>
      <c r="I29" s="15" t="s">
        <v>63</v>
      </c>
      <c r="J29" s="15" t="s">
        <v>63</v>
      </c>
      <c r="K29" s="15" t="s">
        <v>63</v>
      </c>
      <c r="L29" s="9">
        <v>14</v>
      </c>
      <c r="M29" s="9">
        <v>8.5</v>
      </c>
      <c r="N29" s="9">
        <v>5.5</v>
      </c>
      <c r="O29" s="9">
        <v>10</v>
      </c>
      <c r="P29" s="9">
        <v>9</v>
      </c>
      <c r="Q29" s="9">
        <v>5.5</v>
      </c>
      <c r="R29" s="9">
        <v>10.5</v>
      </c>
      <c r="S29" s="9">
        <v>11</v>
      </c>
      <c r="T29" s="9">
        <v>12</v>
      </c>
      <c r="U29" s="9">
        <v>3.5</v>
      </c>
      <c r="V29" s="9">
        <v>13</v>
      </c>
      <c r="W29" s="4">
        <f t="shared" si="0"/>
        <v>102.5</v>
      </c>
      <c r="Y29" s="9">
        <v>1</v>
      </c>
      <c r="Z29" s="9">
        <v>0</v>
      </c>
      <c r="AA29" s="9">
        <v>0</v>
      </c>
      <c r="AB29" s="9">
        <v>0</v>
      </c>
      <c r="AC29" s="9">
        <v>1</v>
      </c>
      <c r="AD29" s="9">
        <v>2</v>
      </c>
      <c r="AE29" s="9">
        <v>0</v>
      </c>
      <c r="AF29" s="9">
        <v>0</v>
      </c>
      <c r="AG29" s="9">
        <v>0</v>
      </c>
      <c r="AH29" s="9">
        <v>0</v>
      </c>
      <c r="AI29" s="9">
        <v>2</v>
      </c>
      <c r="AJ29" s="9">
        <v>1</v>
      </c>
      <c r="AK29" s="9">
        <v>0</v>
      </c>
      <c r="AL29" s="9">
        <v>1</v>
      </c>
      <c r="AM29" s="9">
        <v>2</v>
      </c>
      <c r="AN29" s="4">
        <f t="shared" si="1"/>
        <v>10</v>
      </c>
    </row>
    <row r="30" spans="1:40" x14ac:dyDescent="0.25">
      <c r="A30" s="26" t="s">
        <v>362</v>
      </c>
      <c r="B30" s="11" t="s">
        <v>38</v>
      </c>
      <c r="C30" s="12">
        <v>37</v>
      </c>
      <c r="D30" s="12">
        <v>90</v>
      </c>
      <c r="E30" s="13">
        <v>0.41111111111111109</v>
      </c>
      <c r="F30" s="14">
        <v>1</v>
      </c>
      <c r="H30" s="15" t="s">
        <v>63</v>
      </c>
      <c r="I30" s="15" t="s">
        <v>63</v>
      </c>
      <c r="J30" s="15" t="s">
        <v>63</v>
      </c>
      <c r="K30" s="15" t="s">
        <v>63</v>
      </c>
      <c r="L30" s="15" t="s">
        <v>63</v>
      </c>
      <c r="M30" s="15" t="s">
        <v>63</v>
      </c>
      <c r="N30" s="15" t="s">
        <v>63</v>
      </c>
      <c r="O30" s="15" t="s">
        <v>63</v>
      </c>
      <c r="P30" s="15" t="s">
        <v>63</v>
      </c>
      <c r="Q30" s="15" t="s">
        <v>63</v>
      </c>
      <c r="R30" s="9">
        <v>10.5</v>
      </c>
      <c r="S30" s="9">
        <v>8</v>
      </c>
      <c r="T30" s="9">
        <v>4</v>
      </c>
      <c r="U30" s="9">
        <v>4.5</v>
      </c>
      <c r="V30" s="9">
        <v>10</v>
      </c>
      <c r="W30" s="4">
        <f t="shared" si="0"/>
        <v>37</v>
      </c>
      <c r="Y30" s="15" t="s">
        <v>63</v>
      </c>
      <c r="Z30" s="15" t="s">
        <v>63</v>
      </c>
      <c r="AA30" s="15" t="s">
        <v>63</v>
      </c>
      <c r="AB30" s="15" t="s">
        <v>63</v>
      </c>
      <c r="AC30" s="15" t="s">
        <v>63</v>
      </c>
      <c r="AD30" s="15" t="s">
        <v>63</v>
      </c>
      <c r="AE30" s="15" t="s">
        <v>63</v>
      </c>
      <c r="AF30" s="15" t="s">
        <v>63</v>
      </c>
      <c r="AG30" s="15" t="s">
        <v>63</v>
      </c>
      <c r="AH30" s="15" t="s">
        <v>63</v>
      </c>
      <c r="AI30" s="9">
        <v>0</v>
      </c>
      <c r="AJ30" s="9">
        <v>0</v>
      </c>
      <c r="AK30" s="9">
        <v>0</v>
      </c>
      <c r="AL30" s="9">
        <v>1</v>
      </c>
      <c r="AM30" s="9">
        <v>0</v>
      </c>
      <c r="AN30" s="4">
        <f t="shared" si="1"/>
        <v>1</v>
      </c>
    </row>
    <row r="31" spans="1:40" x14ac:dyDescent="0.25">
      <c r="A31" s="26"/>
      <c r="B31" s="27"/>
      <c r="C31" s="17"/>
      <c r="D31" s="17"/>
      <c r="E31" s="18"/>
      <c r="F31" s="1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2"/>
      <c r="X31" s="31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32"/>
    </row>
    <row r="32" spans="1:40" ht="15.75" thickBot="1" x14ac:dyDescent="0.3">
      <c r="A32" s="26"/>
      <c r="B32" s="20" t="s">
        <v>106</v>
      </c>
      <c r="C32" s="21">
        <v>144.5</v>
      </c>
      <c r="D32" s="21">
        <v>290</v>
      </c>
      <c r="E32" s="22">
        <v>0.49827586206896551</v>
      </c>
      <c r="F32" s="23">
        <v>18</v>
      </c>
      <c r="H32" s="9">
        <v>13</v>
      </c>
      <c r="I32" s="9">
        <v>10</v>
      </c>
      <c r="J32" s="9">
        <v>11.5</v>
      </c>
      <c r="K32" s="9">
        <v>7.5</v>
      </c>
      <c r="L32" s="9">
        <v>11</v>
      </c>
      <c r="M32" s="9">
        <v>8.5</v>
      </c>
      <c r="N32" s="9">
        <v>8.5</v>
      </c>
      <c r="O32" s="9">
        <v>12</v>
      </c>
      <c r="P32" s="9">
        <v>9</v>
      </c>
      <c r="Q32" s="9">
        <v>7.5</v>
      </c>
      <c r="R32" s="9">
        <v>10.5</v>
      </c>
      <c r="S32" s="9">
        <v>10.5</v>
      </c>
      <c r="T32" s="9">
        <v>11</v>
      </c>
      <c r="U32" s="9">
        <v>3.5</v>
      </c>
      <c r="V32" s="9">
        <v>10.5</v>
      </c>
      <c r="W32" s="4">
        <f>SUM(H32:V32)</f>
        <v>144.5</v>
      </c>
      <c r="Y32" s="9">
        <v>2</v>
      </c>
      <c r="Z32" s="9">
        <v>1</v>
      </c>
      <c r="AA32" s="9">
        <v>1</v>
      </c>
      <c r="AB32" s="9">
        <v>1</v>
      </c>
      <c r="AC32" s="9">
        <v>2</v>
      </c>
      <c r="AD32" s="9">
        <v>1</v>
      </c>
      <c r="AE32" s="9">
        <v>1</v>
      </c>
      <c r="AF32" s="9">
        <v>1</v>
      </c>
      <c r="AG32" s="9">
        <v>0</v>
      </c>
      <c r="AH32" s="9">
        <v>2</v>
      </c>
      <c r="AI32" s="9">
        <v>1</v>
      </c>
      <c r="AJ32" s="9">
        <v>2</v>
      </c>
      <c r="AK32" s="9">
        <v>0</v>
      </c>
      <c r="AL32" s="9">
        <v>2</v>
      </c>
      <c r="AM32" s="9">
        <v>1</v>
      </c>
      <c r="AN32" s="4">
        <f>SUM(Y32:AM32)</f>
        <v>18</v>
      </c>
    </row>
    <row r="33" spans="1:40" x14ac:dyDescent="0.25">
      <c r="A33" s="28"/>
      <c r="C33" s="9"/>
      <c r="D33" s="9"/>
      <c r="E33" s="9"/>
      <c r="F33" s="9"/>
      <c r="H33" s="9">
        <v>20</v>
      </c>
      <c r="I33" s="9">
        <v>18</v>
      </c>
      <c r="J33" s="9">
        <v>22</v>
      </c>
      <c r="K33" s="9">
        <v>20</v>
      </c>
      <c r="L33" s="9">
        <v>20</v>
      </c>
      <c r="M33" s="9">
        <v>20</v>
      </c>
      <c r="N33" s="9">
        <v>20</v>
      </c>
      <c r="O33" s="9">
        <v>20</v>
      </c>
      <c r="P33" s="9">
        <v>20</v>
      </c>
      <c r="Q33" s="9">
        <v>20</v>
      </c>
      <c r="R33" s="9">
        <v>20</v>
      </c>
      <c r="S33" s="9">
        <v>20</v>
      </c>
      <c r="T33" s="9">
        <v>20</v>
      </c>
      <c r="U33" s="9">
        <v>7</v>
      </c>
      <c r="V33" s="9">
        <v>23</v>
      </c>
      <c r="W33" s="29">
        <f>SUM(H33:V33)</f>
        <v>290</v>
      </c>
      <c r="AN33" s="4"/>
    </row>
    <row r="34" spans="1:40" x14ac:dyDescent="0.25">
      <c r="A34" s="28"/>
      <c r="C34" s="9"/>
      <c r="D34" s="9"/>
      <c r="E34" s="9"/>
      <c r="F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10"/>
      <c r="AN34" s="4"/>
    </row>
    <row r="35" spans="1:40" x14ac:dyDescent="0.25">
      <c r="A35" s="28"/>
      <c r="B35" s="25" t="s">
        <v>64</v>
      </c>
      <c r="C35" s="12">
        <v>145.5</v>
      </c>
      <c r="D35" s="12">
        <v>290</v>
      </c>
      <c r="E35" s="13">
        <v>0.50172413793103443</v>
      </c>
      <c r="F35" s="12">
        <v>0</v>
      </c>
      <c r="H35" s="9">
        <v>13</v>
      </c>
      <c r="I35" s="9">
        <v>9</v>
      </c>
      <c r="J35" s="9">
        <v>11.5</v>
      </c>
      <c r="K35" s="9">
        <v>8.5</v>
      </c>
      <c r="L35" s="9">
        <v>12</v>
      </c>
      <c r="M35" s="9">
        <v>8.5</v>
      </c>
      <c r="N35" s="9">
        <v>8.5</v>
      </c>
      <c r="O35" s="9">
        <v>13</v>
      </c>
      <c r="P35" s="9">
        <v>9</v>
      </c>
      <c r="Q35" s="9">
        <v>7.5</v>
      </c>
      <c r="R35" s="9">
        <v>10.5</v>
      </c>
      <c r="S35" s="9">
        <v>9</v>
      </c>
      <c r="T35" s="9">
        <v>11</v>
      </c>
      <c r="U35" s="9">
        <v>2.5</v>
      </c>
      <c r="V35" s="9">
        <v>12</v>
      </c>
      <c r="W35" s="4">
        <f>SUM(H35:V35)</f>
        <v>145.5</v>
      </c>
      <c r="AN35" s="4"/>
    </row>
  </sheetData>
  <sortState xmlns:xlrd2="http://schemas.microsoft.com/office/spreadsheetml/2017/richdata2" ref="B3:AN30">
    <sortCondition descending="1" ref="C3:C30"/>
    <sortCondition descending="1" ref="F3:F30"/>
  </sortState>
  <phoneticPr fontId="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N24"/>
  <sheetViews>
    <sheetView workbookViewId="0">
      <selection activeCell="H1" sqref="H1"/>
    </sheetView>
  </sheetViews>
  <sheetFormatPr defaultColWidth="8.85546875" defaultRowHeight="15" x14ac:dyDescent="0.25"/>
  <cols>
    <col min="1" max="1" width="6.85546875" bestFit="1" customWidth="1"/>
    <col min="2" max="2" width="17.2851562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11" width="3.42578125" bestFit="1" customWidth="1"/>
    <col min="12" max="13" width="5" bestFit="1" customWidth="1"/>
    <col min="14" max="16" width="3.42578125" bestFit="1" customWidth="1"/>
    <col min="17" max="21" width="4.42578125" bestFit="1" customWidth="1"/>
    <col min="22" max="22" width="6.28515625" bestFit="1" customWidth="1"/>
    <col min="23" max="23" width="6" bestFit="1" customWidth="1"/>
    <col min="24" max="24" width="2.7109375" customWidth="1"/>
    <col min="25" max="26" width="3" bestFit="1" customWidth="1"/>
    <col min="27" max="27" width="4" bestFit="1" customWidth="1"/>
    <col min="28" max="28" width="3" bestFit="1" customWidth="1"/>
    <col min="29" max="30" width="4" bestFit="1" customWidth="1"/>
    <col min="31" max="31" width="3" bestFit="1" customWidth="1"/>
    <col min="32" max="32" width="4" bestFit="1" customWidth="1"/>
    <col min="33" max="33" width="3" bestFit="1" customWidth="1"/>
    <col min="34" max="38" width="4" bestFit="1" customWidth="1"/>
    <col min="39" max="39" width="6.28515625" bestFit="1" customWidth="1"/>
    <col min="40" max="40" width="5.42578125" bestFit="1" customWidth="1"/>
  </cols>
  <sheetData>
    <row r="1" spans="1:40" ht="19.5" thickBot="1" x14ac:dyDescent="0.35">
      <c r="A1" s="26"/>
      <c r="B1" s="30" t="s">
        <v>73</v>
      </c>
      <c r="C1" s="3"/>
      <c r="D1" s="3"/>
      <c r="E1" s="3"/>
      <c r="F1" s="3"/>
      <c r="W1" s="4"/>
      <c r="AN1" s="4"/>
    </row>
    <row r="2" spans="1:40" x14ac:dyDescent="0.25">
      <c r="A2" s="26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20</v>
      </c>
      <c r="W2" s="10" t="s">
        <v>2</v>
      </c>
      <c r="X2" s="9"/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20</v>
      </c>
      <c r="AN2" s="10" t="s">
        <v>2</v>
      </c>
    </row>
    <row r="3" spans="1:40" x14ac:dyDescent="0.25">
      <c r="A3" s="26" t="s">
        <v>111</v>
      </c>
      <c r="B3" s="11" t="s">
        <v>40</v>
      </c>
      <c r="C3" s="12">
        <f t="shared" ref="C3:C19" si="0">W3</f>
        <v>152</v>
      </c>
      <c r="D3" s="12">
        <f t="shared" ref="D3:D17" si="1">$W$22</f>
        <v>290</v>
      </c>
      <c r="E3" s="13">
        <f t="shared" ref="E3:E19" si="2">C3/D3</f>
        <v>0.52413793103448281</v>
      </c>
      <c r="F3" s="14">
        <f t="shared" ref="F3:F19" si="3">AN3</f>
        <v>14.5</v>
      </c>
      <c r="H3" s="9">
        <v>12</v>
      </c>
      <c r="I3" s="9">
        <v>11</v>
      </c>
      <c r="J3" s="9">
        <v>13</v>
      </c>
      <c r="K3" s="9">
        <v>19</v>
      </c>
      <c r="L3" s="9">
        <v>3.5</v>
      </c>
      <c r="M3" s="9">
        <v>6.5</v>
      </c>
      <c r="N3" s="9">
        <v>11</v>
      </c>
      <c r="O3" s="9">
        <v>13</v>
      </c>
      <c r="P3" s="9">
        <v>9</v>
      </c>
      <c r="Q3" s="9">
        <v>8</v>
      </c>
      <c r="R3" s="9">
        <v>11</v>
      </c>
      <c r="S3" s="9">
        <v>7</v>
      </c>
      <c r="T3" s="9">
        <v>11</v>
      </c>
      <c r="U3" s="9">
        <v>7</v>
      </c>
      <c r="V3" s="9">
        <v>10</v>
      </c>
      <c r="W3" s="4">
        <f t="shared" ref="W3:W19" si="4">SUM(H3:V3)</f>
        <v>152</v>
      </c>
      <c r="Y3" s="9">
        <v>1</v>
      </c>
      <c r="Z3" s="9" t="s">
        <v>63</v>
      </c>
      <c r="AA3" s="9">
        <v>2</v>
      </c>
      <c r="AB3" s="9">
        <v>2</v>
      </c>
      <c r="AC3" s="9">
        <v>0</v>
      </c>
      <c r="AD3" s="9">
        <v>1</v>
      </c>
      <c r="AE3" s="9">
        <v>1</v>
      </c>
      <c r="AF3" s="9">
        <v>1.5</v>
      </c>
      <c r="AG3" s="9">
        <v>1</v>
      </c>
      <c r="AH3" s="9">
        <v>0</v>
      </c>
      <c r="AI3" s="9">
        <v>0</v>
      </c>
      <c r="AJ3" s="9">
        <v>1</v>
      </c>
      <c r="AK3" s="9">
        <v>0</v>
      </c>
      <c r="AL3" s="9">
        <v>2</v>
      </c>
      <c r="AM3" s="9">
        <v>2</v>
      </c>
      <c r="AN3" s="4">
        <f t="shared" ref="AN3:AN19" si="5">SUM(Y3:AM3)</f>
        <v>14.5</v>
      </c>
    </row>
    <row r="4" spans="1:40" x14ac:dyDescent="0.25">
      <c r="A4" s="26" t="s">
        <v>112</v>
      </c>
      <c r="B4" s="11" t="s">
        <v>60</v>
      </c>
      <c r="C4" s="12">
        <f t="shared" si="0"/>
        <v>150</v>
      </c>
      <c r="D4" s="12">
        <f t="shared" si="1"/>
        <v>290</v>
      </c>
      <c r="E4" s="13">
        <f t="shared" si="2"/>
        <v>0.51724137931034486</v>
      </c>
      <c r="F4" s="14">
        <f t="shared" si="3"/>
        <v>10.5</v>
      </c>
      <c r="H4" s="9">
        <v>13</v>
      </c>
      <c r="I4" s="9">
        <v>9</v>
      </c>
      <c r="J4" s="9">
        <v>11</v>
      </c>
      <c r="K4" s="9">
        <v>12</v>
      </c>
      <c r="L4" s="9">
        <v>9.5</v>
      </c>
      <c r="M4" s="9">
        <v>8.5</v>
      </c>
      <c r="N4" s="9">
        <v>13</v>
      </c>
      <c r="O4" s="9">
        <v>11</v>
      </c>
      <c r="P4" s="9">
        <v>12</v>
      </c>
      <c r="Q4" s="9">
        <v>9</v>
      </c>
      <c r="R4" s="9">
        <v>9</v>
      </c>
      <c r="S4" s="9">
        <v>11</v>
      </c>
      <c r="T4" s="9">
        <v>8</v>
      </c>
      <c r="U4" s="9">
        <v>4</v>
      </c>
      <c r="V4" s="9">
        <v>10</v>
      </c>
      <c r="W4" s="4">
        <f t="shared" si="4"/>
        <v>150</v>
      </c>
      <c r="Y4" s="9">
        <v>0</v>
      </c>
      <c r="Z4" s="9" t="s">
        <v>63</v>
      </c>
      <c r="AA4" s="9">
        <v>0</v>
      </c>
      <c r="AB4" s="9">
        <v>0</v>
      </c>
      <c r="AC4" s="9">
        <v>1</v>
      </c>
      <c r="AD4" s="9">
        <v>0</v>
      </c>
      <c r="AE4" s="9">
        <v>1</v>
      </c>
      <c r="AF4" s="9">
        <v>0.5</v>
      </c>
      <c r="AG4" s="9">
        <v>0</v>
      </c>
      <c r="AH4" s="9">
        <v>1</v>
      </c>
      <c r="AI4" s="9">
        <v>2</v>
      </c>
      <c r="AJ4" s="9">
        <v>2</v>
      </c>
      <c r="AK4" s="9">
        <v>0</v>
      </c>
      <c r="AL4" s="9">
        <v>0</v>
      </c>
      <c r="AM4" s="9">
        <v>3</v>
      </c>
      <c r="AN4" s="4">
        <f t="shared" si="5"/>
        <v>10.5</v>
      </c>
    </row>
    <row r="5" spans="1:40" x14ac:dyDescent="0.25">
      <c r="A5" s="26" t="s">
        <v>113</v>
      </c>
      <c r="B5" s="11" t="s">
        <v>56</v>
      </c>
      <c r="C5" s="12">
        <f t="shared" si="0"/>
        <v>146</v>
      </c>
      <c r="D5" s="12">
        <f t="shared" si="1"/>
        <v>290</v>
      </c>
      <c r="E5" s="13">
        <f t="shared" si="2"/>
        <v>0.50344827586206897</v>
      </c>
      <c r="F5" s="14">
        <f t="shared" si="3"/>
        <v>7.5</v>
      </c>
      <c r="H5" s="9">
        <v>12</v>
      </c>
      <c r="I5" s="9">
        <v>10</v>
      </c>
      <c r="J5" s="9">
        <v>11</v>
      </c>
      <c r="K5" s="9">
        <v>13</v>
      </c>
      <c r="L5" s="9">
        <v>7.5</v>
      </c>
      <c r="M5" s="9">
        <v>8.5</v>
      </c>
      <c r="N5" s="9">
        <v>13</v>
      </c>
      <c r="O5" s="9">
        <v>10</v>
      </c>
      <c r="P5" s="9">
        <v>7</v>
      </c>
      <c r="Q5" s="9">
        <v>10</v>
      </c>
      <c r="R5" s="9">
        <v>9</v>
      </c>
      <c r="S5" s="9">
        <v>14</v>
      </c>
      <c r="T5" s="9">
        <v>11</v>
      </c>
      <c r="U5" s="9">
        <v>3</v>
      </c>
      <c r="V5" s="9">
        <v>7</v>
      </c>
      <c r="W5" s="4">
        <f t="shared" si="4"/>
        <v>146</v>
      </c>
      <c r="Y5" s="9">
        <v>0</v>
      </c>
      <c r="Z5" s="9" t="s">
        <v>63</v>
      </c>
      <c r="AA5" s="9">
        <v>0.5</v>
      </c>
      <c r="AB5" s="9">
        <v>1</v>
      </c>
      <c r="AC5" s="9">
        <v>0</v>
      </c>
      <c r="AD5" s="9">
        <v>0</v>
      </c>
      <c r="AE5" s="9">
        <v>0</v>
      </c>
      <c r="AF5" s="9">
        <v>2</v>
      </c>
      <c r="AG5" s="9">
        <v>1</v>
      </c>
      <c r="AH5" s="9">
        <v>1</v>
      </c>
      <c r="AI5" s="9">
        <v>0</v>
      </c>
      <c r="AJ5" s="9">
        <v>1</v>
      </c>
      <c r="AK5" s="9">
        <v>0</v>
      </c>
      <c r="AL5" s="9">
        <v>0</v>
      </c>
      <c r="AM5" s="9">
        <v>1</v>
      </c>
      <c r="AN5" s="4">
        <f t="shared" si="5"/>
        <v>7.5</v>
      </c>
    </row>
    <row r="6" spans="1:40" x14ac:dyDescent="0.25">
      <c r="A6" s="26" t="s">
        <v>114</v>
      </c>
      <c r="B6" s="11" t="s">
        <v>43</v>
      </c>
      <c r="C6" s="12">
        <f t="shared" si="0"/>
        <v>145</v>
      </c>
      <c r="D6" s="12">
        <f t="shared" si="1"/>
        <v>290</v>
      </c>
      <c r="E6" s="13">
        <f t="shared" si="2"/>
        <v>0.5</v>
      </c>
      <c r="F6" s="14">
        <f t="shared" si="3"/>
        <v>15</v>
      </c>
      <c r="H6" s="9">
        <v>10</v>
      </c>
      <c r="I6" s="9">
        <v>13</v>
      </c>
      <c r="J6" s="9">
        <v>10</v>
      </c>
      <c r="K6" s="9">
        <v>14</v>
      </c>
      <c r="L6" s="9">
        <v>6.5</v>
      </c>
      <c r="M6" s="9">
        <v>8.5</v>
      </c>
      <c r="N6" s="9">
        <v>11</v>
      </c>
      <c r="O6" s="9">
        <v>12</v>
      </c>
      <c r="P6" s="9">
        <v>6</v>
      </c>
      <c r="Q6" s="9">
        <v>11</v>
      </c>
      <c r="R6" s="9">
        <v>9</v>
      </c>
      <c r="S6" s="9">
        <v>9</v>
      </c>
      <c r="T6" s="9">
        <v>11</v>
      </c>
      <c r="U6" s="9">
        <v>3</v>
      </c>
      <c r="V6" s="9">
        <v>11</v>
      </c>
      <c r="W6" s="4">
        <f t="shared" si="4"/>
        <v>145</v>
      </c>
      <c r="Y6" s="9">
        <v>1</v>
      </c>
      <c r="Z6" s="9" t="s">
        <v>63</v>
      </c>
      <c r="AA6" s="9">
        <v>0</v>
      </c>
      <c r="AB6" s="9">
        <v>2</v>
      </c>
      <c r="AC6" s="9">
        <v>2</v>
      </c>
      <c r="AD6" s="9">
        <v>0</v>
      </c>
      <c r="AE6" s="9">
        <v>1</v>
      </c>
      <c r="AF6" s="9">
        <v>1</v>
      </c>
      <c r="AG6" s="9">
        <v>1</v>
      </c>
      <c r="AH6" s="9">
        <v>1</v>
      </c>
      <c r="AI6" s="9">
        <v>1</v>
      </c>
      <c r="AJ6" s="9">
        <v>0</v>
      </c>
      <c r="AK6" s="9">
        <v>0</v>
      </c>
      <c r="AL6" s="9">
        <v>1</v>
      </c>
      <c r="AM6" s="9">
        <v>4</v>
      </c>
      <c r="AN6" s="4">
        <f t="shared" si="5"/>
        <v>15</v>
      </c>
    </row>
    <row r="7" spans="1:40" x14ac:dyDescent="0.25">
      <c r="A7" s="26" t="s">
        <v>115</v>
      </c>
      <c r="B7" s="11" t="s">
        <v>44</v>
      </c>
      <c r="C7" s="12">
        <f t="shared" si="0"/>
        <v>141</v>
      </c>
      <c r="D7" s="12">
        <f t="shared" si="1"/>
        <v>290</v>
      </c>
      <c r="E7" s="13">
        <f t="shared" si="2"/>
        <v>0.48620689655172411</v>
      </c>
      <c r="F7" s="14">
        <f t="shared" si="3"/>
        <v>18</v>
      </c>
      <c r="H7" s="9">
        <v>8</v>
      </c>
      <c r="I7" s="9">
        <v>13</v>
      </c>
      <c r="J7" s="9">
        <v>10</v>
      </c>
      <c r="K7" s="9">
        <v>11</v>
      </c>
      <c r="L7" s="9">
        <v>6.5</v>
      </c>
      <c r="M7" s="9">
        <v>8.5</v>
      </c>
      <c r="N7" s="9">
        <v>13</v>
      </c>
      <c r="O7" s="9">
        <v>9</v>
      </c>
      <c r="P7" s="9">
        <v>10</v>
      </c>
      <c r="Q7" s="9">
        <v>10</v>
      </c>
      <c r="R7" s="9">
        <v>7</v>
      </c>
      <c r="S7" s="9">
        <v>11</v>
      </c>
      <c r="T7" s="9">
        <v>11</v>
      </c>
      <c r="U7" s="9">
        <v>3</v>
      </c>
      <c r="V7" s="9">
        <v>10</v>
      </c>
      <c r="W7" s="4">
        <f t="shared" si="4"/>
        <v>141</v>
      </c>
      <c r="Y7" s="9">
        <v>1</v>
      </c>
      <c r="Z7" s="9" t="s">
        <v>63</v>
      </c>
      <c r="AA7" s="9">
        <v>1</v>
      </c>
      <c r="AB7" s="9">
        <v>2</v>
      </c>
      <c r="AC7" s="9">
        <v>2</v>
      </c>
      <c r="AD7" s="9">
        <v>2</v>
      </c>
      <c r="AE7" s="9">
        <v>0</v>
      </c>
      <c r="AF7" s="9">
        <v>0</v>
      </c>
      <c r="AG7" s="9">
        <v>2</v>
      </c>
      <c r="AH7" s="9">
        <v>1</v>
      </c>
      <c r="AI7" s="9">
        <v>1</v>
      </c>
      <c r="AJ7" s="9">
        <v>1</v>
      </c>
      <c r="AK7" s="9">
        <v>2</v>
      </c>
      <c r="AL7" s="9">
        <v>1</v>
      </c>
      <c r="AM7" s="9">
        <v>2</v>
      </c>
      <c r="AN7" s="4">
        <f t="shared" si="5"/>
        <v>18</v>
      </c>
    </row>
    <row r="8" spans="1:40" x14ac:dyDescent="0.25">
      <c r="A8" s="26" t="s">
        <v>116</v>
      </c>
      <c r="B8" s="11" t="s">
        <v>62</v>
      </c>
      <c r="C8" s="12">
        <f t="shared" si="0"/>
        <v>138</v>
      </c>
      <c r="D8" s="12">
        <f t="shared" si="1"/>
        <v>290</v>
      </c>
      <c r="E8" s="13">
        <f t="shared" si="2"/>
        <v>0.47586206896551725</v>
      </c>
      <c r="F8" s="14">
        <f t="shared" si="3"/>
        <v>18</v>
      </c>
      <c r="H8" s="9">
        <v>9</v>
      </c>
      <c r="I8" s="9">
        <v>12</v>
      </c>
      <c r="J8" s="9">
        <v>10</v>
      </c>
      <c r="K8" s="9">
        <v>13</v>
      </c>
      <c r="L8" s="9">
        <v>4.5</v>
      </c>
      <c r="M8" s="9">
        <v>10.5</v>
      </c>
      <c r="N8" s="9">
        <v>8</v>
      </c>
      <c r="O8" s="9">
        <v>8</v>
      </c>
      <c r="P8" s="9">
        <v>8</v>
      </c>
      <c r="Q8" s="9">
        <v>9</v>
      </c>
      <c r="R8" s="9">
        <v>10</v>
      </c>
      <c r="S8" s="9">
        <v>12</v>
      </c>
      <c r="T8" s="9">
        <v>10</v>
      </c>
      <c r="U8" s="9">
        <v>4</v>
      </c>
      <c r="V8" s="9">
        <v>10</v>
      </c>
      <c r="W8" s="4">
        <f t="shared" si="4"/>
        <v>138</v>
      </c>
      <c r="Y8" s="9">
        <v>1</v>
      </c>
      <c r="Z8" s="9" t="s">
        <v>63</v>
      </c>
      <c r="AA8" s="9">
        <v>0</v>
      </c>
      <c r="AB8" s="9">
        <v>2</v>
      </c>
      <c r="AC8" s="9">
        <v>1</v>
      </c>
      <c r="AD8" s="9">
        <v>1</v>
      </c>
      <c r="AE8" s="9">
        <v>2</v>
      </c>
      <c r="AF8" s="9">
        <v>1</v>
      </c>
      <c r="AG8" s="9">
        <v>2</v>
      </c>
      <c r="AH8" s="9">
        <v>1</v>
      </c>
      <c r="AI8" s="9">
        <v>1</v>
      </c>
      <c r="AJ8" s="9">
        <v>1</v>
      </c>
      <c r="AK8" s="9">
        <v>2</v>
      </c>
      <c r="AL8" s="9">
        <v>0</v>
      </c>
      <c r="AM8" s="9">
        <v>3</v>
      </c>
      <c r="AN8" s="4">
        <f t="shared" si="5"/>
        <v>18</v>
      </c>
    </row>
    <row r="9" spans="1:40" x14ac:dyDescent="0.25">
      <c r="A9" s="26" t="s">
        <v>117</v>
      </c>
      <c r="B9" s="11" t="s">
        <v>55</v>
      </c>
      <c r="C9" s="12">
        <f t="shared" si="0"/>
        <v>137</v>
      </c>
      <c r="D9" s="12">
        <f t="shared" si="1"/>
        <v>290</v>
      </c>
      <c r="E9" s="13">
        <f t="shared" si="2"/>
        <v>0.47241379310344828</v>
      </c>
      <c r="F9" s="14">
        <f t="shared" si="3"/>
        <v>14</v>
      </c>
      <c r="H9" s="9">
        <v>8</v>
      </c>
      <c r="I9" s="9">
        <v>7</v>
      </c>
      <c r="J9" s="9">
        <v>10</v>
      </c>
      <c r="K9" s="9">
        <v>13</v>
      </c>
      <c r="L9" s="9">
        <v>11.5</v>
      </c>
      <c r="M9" s="9">
        <v>8.5</v>
      </c>
      <c r="N9" s="9">
        <v>7</v>
      </c>
      <c r="O9" s="9">
        <v>11</v>
      </c>
      <c r="P9" s="9">
        <v>5</v>
      </c>
      <c r="Q9" s="9">
        <v>11</v>
      </c>
      <c r="R9" s="9">
        <v>10</v>
      </c>
      <c r="S9" s="9">
        <v>13</v>
      </c>
      <c r="T9" s="9">
        <v>9</v>
      </c>
      <c r="U9" s="9">
        <v>1</v>
      </c>
      <c r="V9" s="9">
        <v>12</v>
      </c>
      <c r="W9" s="4">
        <f t="shared" si="4"/>
        <v>137</v>
      </c>
      <c r="Y9" s="9">
        <v>0</v>
      </c>
      <c r="Z9" s="9" t="s">
        <v>63</v>
      </c>
      <c r="AA9" s="9">
        <v>0</v>
      </c>
      <c r="AB9" s="9">
        <v>2</v>
      </c>
      <c r="AC9" s="9">
        <v>1</v>
      </c>
      <c r="AD9" s="9">
        <v>1</v>
      </c>
      <c r="AE9" s="9">
        <v>1</v>
      </c>
      <c r="AF9" s="9">
        <v>2</v>
      </c>
      <c r="AG9" s="9">
        <v>0</v>
      </c>
      <c r="AH9" s="9">
        <v>2</v>
      </c>
      <c r="AI9" s="9">
        <v>1</v>
      </c>
      <c r="AJ9" s="9">
        <v>1</v>
      </c>
      <c r="AK9" s="9">
        <v>1</v>
      </c>
      <c r="AL9" s="9">
        <v>0</v>
      </c>
      <c r="AM9" s="9">
        <v>2</v>
      </c>
      <c r="AN9" s="4">
        <f t="shared" si="5"/>
        <v>14</v>
      </c>
    </row>
    <row r="10" spans="1:40" x14ac:dyDescent="0.25">
      <c r="A10" s="26" t="s">
        <v>118</v>
      </c>
      <c r="B10" s="11" t="s">
        <v>48</v>
      </c>
      <c r="C10" s="12">
        <f t="shared" si="0"/>
        <v>137</v>
      </c>
      <c r="D10" s="12">
        <f t="shared" si="1"/>
        <v>290</v>
      </c>
      <c r="E10" s="13">
        <f t="shared" si="2"/>
        <v>0.47241379310344828</v>
      </c>
      <c r="F10" s="14">
        <f t="shared" si="3"/>
        <v>11</v>
      </c>
      <c r="H10" s="9">
        <v>8</v>
      </c>
      <c r="I10" s="9">
        <v>10</v>
      </c>
      <c r="J10" s="9">
        <v>12</v>
      </c>
      <c r="K10" s="9">
        <v>14</v>
      </c>
      <c r="L10" s="9">
        <v>7.5</v>
      </c>
      <c r="M10" s="9">
        <v>9.5</v>
      </c>
      <c r="N10" s="9">
        <v>11</v>
      </c>
      <c r="O10" s="9">
        <v>9</v>
      </c>
      <c r="P10" s="9">
        <v>4</v>
      </c>
      <c r="Q10" s="9">
        <v>11</v>
      </c>
      <c r="R10" s="9">
        <v>11</v>
      </c>
      <c r="S10" s="9">
        <v>9</v>
      </c>
      <c r="T10" s="9">
        <v>11</v>
      </c>
      <c r="U10" s="9">
        <v>1</v>
      </c>
      <c r="V10" s="9">
        <v>9</v>
      </c>
      <c r="W10" s="4">
        <f t="shared" si="4"/>
        <v>137</v>
      </c>
      <c r="Y10" s="9">
        <v>2</v>
      </c>
      <c r="Z10" s="9" t="s">
        <v>63</v>
      </c>
      <c r="AA10" s="9">
        <v>0</v>
      </c>
      <c r="AB10" s="9">
        <v>1</v>
      </c>
      <c r="AC10" s="9">
        <v>0</v>
      </c>
      <c r="AD10" s="9">
        <v>1</v>
      </c>
      <c r="AE10" s="9">
        <v>1</v>
      </c>
      <c r="AF10" s="9">
        <v>0</v>
      </c>
      <c r="AG10" s="9">
        <v>0</v>
      </c>
      <c r="AH10" s="9">
        <v>2</v>
      </c>
      <c r="AI10" s="9">
        <v>0</v>
      </c>
      <c r="AJ10" s="9">
        <v>0</v>
      </c>
      <c r="AK10" s="9">
        <v>1</v>
      </c>
      <c r="AL10" s="9">
        <v>0</v>
      </c>
      <c r="AM10" s="9">
        <v>3</v>
      </c>
      <c r="AN10" s="4">
        <f t="shared" si="5"/>
        <v>11</v>
      </c>
    </row>
    <row r="11" spans="1:40" x14ac:dyDescent="0.25">
      <c r="A11" s="26" t="s">
        <v>119</v>
      </c>
      <c r="B11" s="11" t="s">
        <v>51</v>
      </c>
      <c r="C11" s="12">
        <f t="shared" si="0"/>
        <v>136</v>
      </c>
      <c r="D11" s="12">
        <f t="shared" si="1"/>
        <v>290</v>
      </c>
      <c r="E11" s="13">
        <f t="shared" si="2"/>
        <v>0.4689655172413793</v>
      </c>
      <c r="F11" s="14">
        <f t="shared" si="3"/>
        <v>20</v>
      </c>
      <c r="H11" s="9">
        <v>8</v>
      </c>
      <c r="I11" s="9">
        <v>12</v>
      </c>
      <c r="J11" s="9">
        <v>8</v>
      </c>
      <c r="K11" s="9">
        <v>16</v>
      </c>
      <c r="L11" s="9">
        <v>6.5</v>
      </c>
      <c r="M11" s="9">
        <v>7.5</v>
      </c>
      <c r="N11" s="9">
        <v>11</v>
      </c>
      <c r="O11" s="9">
        <v>10</v>
      </c>
      <c r="P11" s="9">
        <v>6</v>
      </c>
      <c r="Q11" s="9">
        <v>11</v>
      </c>
      <c r="R11" s="9">
        <v>8</v>
      </c>
      <c r="S11" s="9">
        <v>11</v>
      </c>
      <c r="T11" s="9">
        <v>9</v>
      </c>
      <c r="U11" s="9">
        <v>3</v>
      </c>
      <c r="V11" s="9">
        <v>9</v>
      </c>
      <c r="W11" s="4">
        <f t="shared" si="4"/>
        <v>136</v>
      </c>
      <c r="Y11" s="9">
        <v>2</v>
      </c>
      <c r="Z11" s="9" t="s">
        <v>63</v>
      </c>
      <c r="AA11" s="9">
        <v>0</v>
      </c>
      <c r="AB11" s="9">
        <v>2</v>
      </c>
      <c r="AC11" s="9">
        <v>0</v>
      </c>
      <c r="AD11" s="9">
        <v>0.5</v>
      </c>
      <c r="AE11" s="9">
        <v>2</v>
      </c>
      <c r="AF11" s="9">
        <v>1.5</v>
      </c>
      <c r="AG11" s="9">
        <v>2</v>
      </c>
      <c r="AH11" s="9">
        <v>1</v>
      </c>
      <c r="AI11" s="9">
        <v>1</v>
      </c>
      <c r="AJ11" s="9">
        <v>1</v>
      </c>
      <c r="AK11" s="9">
        <v>2</v>
      </c>
      <c r="AL11" s="9">
        <v>2</v>
      </c>
      <c r="AM11" s="9">
        <v>3</v>
      </c>
      <c r="AN11" s="4">
        <f t="shared" si="5"/>
        <v>20</v>
      </c>
    </row>
    <row r="12" spans="1:40" x14ac:dyDescent="0.25">
      <c r="A12" s="26" t="s">
        <v>120</v>
      </c>
      <c r="B12" s="11" t="s">
        <v>70</v>
      </c>
      <c r="C12" s="12">
        <f t="shared" si="0"/>
        <v>136</v>
      </c>
      <c r="D12" s="12">
        <f t="shared" si="1"/>
        <v>290</v>
      </c>
      <c r="E12" s="13">
        <f t="shared" si="2"/>
        <v>0.4689655172413793</v>
      </c>
      <c r="F12" s="14">
        <f t="shared" si="3"/>
        <v>14</v>
      </c>
      <c r="H12" s="9">
        <v>11</v>
      </c>
      <c r="I12" s="9">
        <v>12</v>
      </c>
      <c r="J12" s="9">
        <v>8</v>
      </c>
      <c r="K12" s="9">
        <v>10</v>
      </c>
      <c r="L12" s="9">
        <v>6.5</v>
      </c>
      <c r="M12" s="9">
        <v>8.5</v>
      </c>
      <c r="N12" s="9">
        <v>7</v>
      </c>
      <c r="O12" s="9">
        <v>10</v>
      </c>
      <c r="P12" s="9">
        <v>11</v>
      </c>
      <c r="Q12" s="9">
        <v>8</v>
      </c>
      <c r="R12" s="9">
        <v>9</v>
      </c>
      <c r="S12" s="9">
        <v>12</v>
      </c>
      <c r="T12" s="9">
        <v>5</v>
      </c>
      <c r="U12" s="9">
        <v>7</v>
      </c>
      <c r="V12" s="9">
        <v>11</v>
      </c>
      <c r="W12" s="4">
        <f t="shared" si="4"/>
        <v>136</v>
      </c>
      <c r="Y12" s="9">
        <v>0</v>
      </c>
      <c r="Z12" s="9" t="s">
        <v>63</v>
      </c>
      <c r="AA12" s="9">
        <v>1</v>
      </c>
      <c r="AB12" s="9">
        <v>1</v>
      </c>
      <c r="AC12" s="9">
        <v>0</v>
      </c>
      <c r="AD12" s="9">
        <v>2</v>
      </c>
      <c r="AE12" s="9">
        <v>1</v>
      </c>
      <c r="AF12" s="9">
        <v>0</v>
      </c>
      <c r="AG12" s="9">
        <v>0</v>
      </c>
      <c r="AH12" s="9">
        <v>1</v>
      </c>
      <c r="AI12" s="9">
        <v>1</v>
      </c>
      <c r="AJ12" s="9">
        <v>1</v>
      </c>
      <c r="AK12" s="9">
        <v>1</v>
      </c>
      <c r="AL12" s="9">
        <v>1</v>
      </c>
      <c r="AM12" s="9">
        <v>4</v>
      </c>
      <c r="AN12" s="4">
        <f t="shared" si="5"/>
        <v>14</v>
      </c>
    </row>
    <row r="13" spans="1:40" x14ac:dyDescent="0.25">
      <c r="A13" s="26" t="s">
        <v>121</v>
      </c>
      <c r="B13" s="11" t="s">
        <v>50</v>
      </c>
      <c r="C13" s="12">
        <f t="shared" si="0"/>
        <v>135</v>
      </c>
      <c r="D13" s="12">
        <f t="shared" si="1"/>
        <v>290</v>
      </c>
      <c r="E13" s="13">
        <f t="shared" si="2"/>
        <v>0.46551724137931033</v>
      </c>
      <c r="F13" s="14">
        <f t="shared" si="3"/>
        <v>14.5</v>
      </c>
      <c r="H13" s="9">
        <v>10</v>
      </c>
      <c r="I13" s="9">
        <v>11</v>
      </c>
      <c r="J13" s="9">
        <v>8</v>
      </c>
      <c r="K13" s="9">
        <v>13</v>
      </c>
      <c r="L13" s="9">
        <v>10.5</v>
      </c>
      <c r="M13" s="9">
        <v>7.5</v>
      </c>
      <c r="N13" s="9">
        <v>11</v>
      </c>
      <c r="O13" s="9">
        <v>11</v>
      </c>
      <c r="P13" s="9">
        <v>5</v>
      </c>
      <c r="Q13" s="9">
        <v>9</v>
      </c>
      <c r="R13" s="9">
        <v>8</v>
      </c>
      <c r="S13" s="9">
        <v>10</v>
      </c>
      <c r="T13" s="9">
        <v>11</v>
      </c>
      <c r="U13" s="9">
        <v>1</v>
      </c>
      <c r="V13" s="9">
        <v>9</v>
      </c>
      <c r="W13" s="4">
        <f t="shared" si="4"/>
        <v>135</v>
      </c>
      <c r="Y13" s="9">
        <v>1</v>
      </c>
      <c r="Z13" s="9" t="s">
        <v>63</v>
      </c>
      <c r="AA13" s="9">
        <v>0</v>
      </c>
      <c r="AB13" s="9">
        <v>2</v>
      </c>
      <c r="AC13" s="9">
        <v>0</v>
      </c>
      <c r="AD13" s="9">
        <v>1</v>
      </c>
      <c r="AE13" s="9">
        <v>1</v>
      </c>
      <c r="AF13" s="9">
        <v>1.5</v>
      </c>
      <c r="AG13" s="9">
        <v>0</v>
      </c>
      <c r="AH13" s="9">
        <v>2</v>
      </c>
      <c r="AI13" s="9">
        <v>1</v>
      </c>
      <c r="AJ13" s="9">
        <v>1</v>
      </c>
      <c r="AK13" s="9">
        <v>1</v>
      </c>
      <c r="AL13" s="9">
        <v>1</v>
      </c>
      <c r="AM13" s="9">
        <v>2</v>
      </c>
      <c r="AN13" s="4">
        <f t="shared" si="5"/>
        <v>14.5</v>
      </c>
    </row>
    <row r="14" spans="1:40" x14ac:dyDescent="0.25">
      <c r="A14" s="26" t="s">
        <v>122</v>
      </c>
      <c r="B14" s="11" t="s">
        <v>39</v>
      </c>
      <c r="C14" s="12">
        <f t="shared" si="0"/>
        <v>133</v>
      </c>
      <c r="D14" s="12">
        <f t="shared" si="1"/>
        <v>290</v>
      </c>
      <c r="E14" s="13">
        <f t="shared" si="2"/>
        <v>0.45862068965517239</v>
      </c>
      <c r="F14" s="14">
        <f t="shared" si="3"/>
        <v>15</v>
      </c>
      <c r="H14" s="9">
        <v>8</v>
      </c>
      <c r="I14" s="9">
        <v>13</v>
      </c>
      <c r="J14" s="9">
        <v>9</v>
      </c>
      <c r="K14" s="9">
        <v>16</v>
      </c>
      <c r="L14" s="9">
        <v>6.5</v>
      </c>
      <c r="M14" s="9">
        <v>8.5</v>
      </c>
      <c r="N14" s="9">
        <v>9</v>
      </c>
      <c r="O14" s="9">
        <v>11</v>
      </c>
      <c r="P14" s="9">
        <v>4</v>
      </c>
      <c r="Q14" s="9">
        <v>9</v>
      </c>
      <c r="R14" s="9">
        <v>10</v>
      </c>
      <c r="S14" s="9">
        <v>8</v>
      </c>
      <c r="T14" s="9">
        <v>9</v>
      </c>
      <c r="U14" s="9">
        <v>4</v>
      </c>
      <c r="V14" s="9">
        <v>8</v>
      </c>
      <c r="W14" s="4">
        <f t="shared" si="4"/>
        <v>133</v>
      </c>
      <c r="Y14" s="9">
        <v>0</v>
      </c>
      <c r="Z14" s="9" t="s">
        <v>63</v>
      </c>
      <c r="AA14" s="9">
        <v>1</v>
      </c>
      <c r="AB14" s="9">
        <v>1</v>
      </c>
      <c r="AC14" s="9">
        <v>1</v>
      </c>
      <c r="AD14" s="9">
        <v>1</v>
      </c>
      <c r="AE14" s="9">
        <v>2</v>
      </c>
      <c r="AF14" s="9">
        <v>1</v>
      </c>
      <c r="AG14" s="9">
        <v>0</v>
      </c>
      <c r="AH14" s="9">
        <v>1</v>
      </c>
      <c r="AI14" s="9">
        <v>2</v>
      </c>
      <c r="AJ14" s="9">
        <v>1</v>
      </c>
      <c r="AK14" s="9">
        <v>2</v>
      </c>
      <c r="AL14" s="9">
        <v>1</v>
      </c>
      <c r="AM14" s="9">
        <v>1</v>
      </c>
      <c r="AN14" s="4">
        <f t="shared" si="5"/>
        <v>15</v>
      </c>
    </row>
    <row r="15" spans="1:40" x14ac:dyDescent="0.25">
      <c r="A15" s="26" t="s">
        <v>123</v>
      </c>
      <c r="B15" s="11" t="s">
        <v>52</v>
      </c>
      <c r="C15" s="12">
        <f t="shared" si="0"/>
        <v>130</v>
      </c>
      <c r="D15" s="12">
        <f t="shared" si="1"/>
        <v>290</v>
      </c>
      <c r="E15" s="13">
        <f t="shared" si="2"/>
        <v>0.44827586206896552</v>
      </c>
      <c r="F15" s="14">
        <f t="shared" si="3"/>
        <v>12.5</v>
      </c>
      <c r="H15" s="9">
        <v>8</v>
      </c>
      <c r="I15" s="9">
        <v>12</v>
      </c>
      <c r="J15" s="9">
        <v>8</v>
      </c>
      <c r="K15" s="9">
        <v>15</v>
      </c>
      <c r="L15" s="9">
        <v>5.5</v>
      </c>
      <c r="M15" s="9">
        <v>9.5</v>
      </c>
      <c r="N15" s="9">
        <v>10</v>
      </c>
      <c r="O15" s="9">
        <v>8</v>
      </c>
      <c r="P15" s="9">
        <v>4</v>
      </c>
      <c r="Q15" s="9">
        <v>10</v>
      </c>
      <c r="R15" s="9">
        <v>10</v>
      </c>
      <c r="S15" s="9">
        <v>9</v>
      </c>
      <c r="T15" s="9">
        <v>10</v>
      </c>
      <c r="U15" s="9">
        <v>3</v>
      </c>
      <c r="V15" s="9">
        <v>8</v>
      </c>
      <c r="W15" s="4">
        <f t="shared" si="4"/>
        <v>130</v>
      </c>
      <c r="Y15" s="9">
        <v>1</v>
      </c>
      <c r="Z15" s="9" t="s">
        <v>63</v>
      </c>
      <c r="AA15" s="9">
        <v>0.5</v>
      </c>
      <c r="AB15" s="9">
        <v>2</v>
      </c>
      <c r="AC15" s="9">
        <v>1</v>
      </c>
      <c r="AD15" s="9">
        <v>0</v>
      </c>
      <c r="AE15" s="9">
        <v>2</v>
      </c>
      <c r="AF15" s="9">
        <v>0</v>
      </c>
      <c r="AG15" s="9">
        <v>0</v>
      </c>
      <c r="AH15" s="9">
        <v>0</v>
      </c>
      <c r="AI15" s="9">
        <v>1</v>
      </c>
      <c r="AJ15" s="9">
        <v>0</v>
      </c>
      <c r="AK15" s="9">
        <v>1</v>
      </c>
      <c r="AL15" s="9">
        <v>2</v>
      </c>
      <c r="AM15" s="9">
        <v>2</v>
      </c>
      <c r="AN15" s="4">
        <f t="shared" si="5"/>
        <v>12.5</v>
      </c>
    </row>
    <row r="16" spans="1:40" x14ac:dyDescent="0.25">
      <c r="A16" s="26" t="s">
        <v>124</v>
      </c>
      <c r="B16" s="11" t="s">
        <v>66</v>
      </c>
      <c r="C16" s="12">
        <f t="shared" si="0"/>
        <v>130</v>
      </c>
      <c r="D16" s="12">
        <f t="shared" si="1"/>
        <v>290</v>
      </c>
      <c r="E16" s="13">
        <f t="shared" si="2"/>
        <v>0.44827586206896552</v>
      </c>
      <c r="F16" s="14">
        <f t="shared" si="3"/>
        <v>9</v>
      </c>
      <c r="H16" s="9">
        <v>13</v>
      </c>
      <c r="I16" s="9">
        <v>13</v>
      </c>
      <c r="J16" s="9">
        <v>10</v>
      </c>
      <c r="K16" s="9">
        <v>15</v>
      </c>
      <c r="L16" s="9">
        <v>6.5</v>
      </c>
      <c r="M16" s="9">
        <v>7.5</v>
      </c>
      <c r="N16" s="9">
        <v>9</v>
      </c>
      <c r="O16" s="9">
        <v>7</v>
      </c>
      <c r="P16" s="9">
        <v>9</v>
      </c>
      <c r="Q16" s="9">
        <v>5</v>
      </c>
      <c r="R16" s="9">
        <v>6</v>
      </c>
      <c r="S16" s="9">
        <v>11</v>
      </c>
      <c r="T16" s="9">
        <v>9</v>
      </c>
      <c r="U16" s="9">
        <v>2</v>
      </c>
      <c r="V16" s="9">
        <v>7</v>
      </c>
      <c r="W16" s="4">
        <f t="shared" si="4"/>
        <v>130</v>
      </c>
      <c r="Y16" s="9">
        <v>0</v>
      </c>
      <c r="Z16" s="9" t="s">
        <v>63</v>
      </c>
      <c r="AA16" s="9">
        <v>2</v>
      </c>
      <c r="AB16" s="9">
        <v>1</v>
      </c>
      <c r="AC16" s="9">
        <v>1</v>
      </c>
      <c r="AD16" s="9">
        <v>0</v>
      </c>
      <c r="AE16" s="9">
        <v>1</v>
      </c>
      <c r="AF16" s="9">
        <v>0</v>
      </c>
      <c r="AG16" s="9">
        <v>0</v>
      </c>
      <c r="AH16" s="9">
        <v>1</v>
      </c>
      <c r="AI16" s="9">
        <v>1</v>
      </c>
      <c r="AJ16" s="9">
        <v>0</v>
      </c>
      <c r="AK16" s="9">
        <v>0</v>
      </c>
      <c r="AL16" s="9">
        <v>0</v>
      </c>
      <c r="AM16" s="9">
        <v>2</v>
      </c>
      <c r="AN16" s="4">
        <f t="shared" si="5"/>
        <v>9</v>
      </c>
    </row>
    <row r="17" spans="1:40" x14ac:dyDescent="0.25">
      <c r="A17" s="26" t="s">
        <v>125</v>
      </c>
      <c r="B17" s="11" t="s">
        <v>45</v>
      </c>
      <c r="C17" s="12">
        <f t="shared" si="0"/>
        <v>126</v>
      </c>
      <c r="D17" s="12">
        <f t="shared" si="1"/>
        <v>290</v>
      </c>
      <c r="E17" s="13">
        <f t="shared" si="2"/>
        <v>0.43448275862068964</v>
      </c>
      <c r="F17" s="14">
        <f t="shared" si="3"/>
        <v>9.5</v>
      </c>
      <c r="H17" s="9">
        <v>8</v>
      </c>
      <c r="I17" s="9">
        <v>13</v>
      </c>
      <c r="J17" s="9">
        <v>7</v>
      </c>
      <c r="K17" s="9">
        <v>16</v>
      </c>
      <c r="L17" s="9">
        <v>7.5</v>
      </c>
      <c r="M17" s="9">
        <v>8.5</v>
      </c>
      <c r="N17" s="9">
        <v>11</v>
      </c>
      <c r="O17" s="9">
        <v>6</v>
      </c>
      <c r="P17" s="9">
        <v>5</v>
      </c>
      <c r="Q17" s="9">
        <v>9</v>
      </c>
      <c r="R17" s="9">
        <v>5</v>
      </c>
      <c r="S17" s="9">
        <v>8</v>
      </c>
      <c r="T17" s="9">
        <v>10</v>
      </c>
      <c r="U17" s="9">
        <v>2</v>
      </c>
      <c r="V17" s="9">
        <v>10</v>
      </c>
      <c r="W17" s="4">
        <f t="shared" si="4"/>
        <v>126</v>
      </c>
      <c r="Y17" s="9">
        <v>1</v>
      </c>
      <c r="Z17" s="9" t="s">
        <v>63</v>
      </c>
      <c r="AA17" s="9">
        <v>0</v>
      </c>
      <c r="AB17" s="9">
        <v>2</v>
      </c>
      <c r="AC17" s="9">
        <v>0.5</v>
      </c>
      <c r="AD17" s="9">
        <v>0</v>
      </c>
      <c r="AE17" s="9">
        <v>1</v>
      </c>
      <c r="AF17" s="9">
        <v>1</v>
      </c>
      <c r="AG17" s="9">
        <v>0</v>
      </c>
      <c r="AH17" s="9">
        <v>1</v>
      </c>
      <c r="AI17" s="9">
        <v>2</v>
      </c>
      <c r="AJ17" s="9">
        <v>1</v>
      </c>
      <c r="AK17" s="9">
        <v>0</v>
      </c>
      <c r="AL17" s="9">
        <v>0</v>
      </c>
      <c r="AM17" s="9">
        <v>0</v>
      </c>
      <c r="AN17" s="4">
        <f t="shared" si="5"/>
        <v>9.5</v>
      </c>
    </row>
    <row r="18" spans="1:40" x14ac:dyDescent="0.25">
      <c r="A18" s="26" t="s">
        <v>358</v>
      </c>
      <c r="B18" s="11" t="s">
        <v>68</v>
      </c>
      <c r="C18" s="12">
        <f t="shared" si="0"/>
        <v>77</v>
      </c>
      <c r="D18" s="12">
        <f>SUM($H$22:$Q$22)</f>
        <v>199</v>
      </c>
      <c r="E18" s="13">
        <f t="shared" si="2"/>
        <v>0.38693467336683418</v>
      </c>
      <c r="F18" s="14">
        <f t="shared" si="3"/>
        <v>7</v>
      </c>
      <c r="H18" s="9">
        <v>10</v>
      </c>
      <c r="I18" s="9">
        <v>7</v>
      </c>
      <c r="J18" s="9">
        <v>11</v>
      </c>
      <c r="K18" s="9">
        <v>15</v>
      </c>
      <c r="L18" s="9">
        <v>7.5</v>
      </c>
      <c r="M18" s="9">
        <v>8.5</v>
      </c>
      <c r="N18" s="9">
        <v>6</v>
      </c>
      <c r="O18" s="9">
        <v>5</v>
      </c>
      <c r="P18" s="9">
        <v>3</v>
      </c>
      <c r="Q18" s="9">
        <v>4</v>
      </c>
      <c r="R18" s="15" t="s">
        <v>63</v>
      </c>
      <c r="S18" s="15" t="s">
        <v>63</v>
      </c>
      <c r="T18" s="15" t="s">
        <v>63</v>
      </c>
      <c r="U18" s="15" t="s">
        <v>63</v>
      </c>
      <c r="V18" s="15" t="s">
        <v>63</v>
      </c>
      <c r="W18" s="4">
        <f t="shared" si="4"/>
        <v>77</v>
      </c>
      <c r="Y18" s="9">
        <v>1</v>
      </c>
      <c r="Z18" s="9" t="s">
        <v>63</v>
      </c>
      <c r="AA18" s="9">
        <v>2</v>
      </c>
      <c r="AB18" s="9">
        <v>2</v>
      </c>
      <c r="AC18" s="9">
        <v>0.5</v>
      </c>
      <c r="AD18" s="9">
        <v>1.5</v>
      </c>
      <c r="AE18" s="9">
        <v>0</v>
      </c>
      <c r="AF18" s="9">
        <v>0</v>
      </c>
      <c r="AG18" s="9">
        <v>0</v>
      </c>
      <c r="AH18" s="9">
        <v>0</v>
      </c>
      <c r="AI18" s="15" t="s">
        <v>63</v>
      </c>
      <c r="AJ18" s="15" t="s">
        <v>63</v>
      </c>
      <c r="AK18" s="15" t="s">
        <v>63</v>
      </c>
      <c r="AL18" s="15" t="s">
        <v>63</v>
      </c>
      <c r="AM18" s="15" t="s">
        <v>63</v>
      </c>
      <c r="AN18" s="4">
        <f t="shared" si="5"/>
        <v>7</v>
      </c>
    </row>
    <row r="19" spans="1:40" x14ac:dyDescent="0.25">
      <c r="A19" s="26" t="s">
        <v>359</v>
      </c>
      <c r="B19" s="11" t="s">
        <v>67</v>
      </c>
      <c r="C19" s="12">
        <f t="shared" si="0"/>
        <v>49</v>
      </c>
      <c r="D19" s="12">
        <f>$H$22+$I$22+$J$22+$K$22+$L$22+$M$22+$N$22</f>
        <v>139</v>
      </c>
      <c r="E19" s="13">
        <f t="shared" si="2"/>
        <v>0.35251798561151076</v>
      </c>
      <c r="F19" s="14">
        <f t="shared" si="3"/>
        <v>2</v>
      </c>
      <c r="H19" s="9">
        <v>9</v>
      </c>
      <c r="I19" s="9">
        <v>11</v>
      </c>
      <c r="J19" s="9">
        <v>6</v>
      </c>
      <c r="K19" s="9">
        <v>9</v>
      </c>
      <c r="L19" s="9">
        <v>2.5</v>
      </c>
      <c r="M19" s="9">
        <v>5.5</v>
      </c>
      <c r="N19" s="9">
        <v>6</v>
      </c>
      <c r="O19" s="15" t="s">
        <v>63</v>
      </c>
      <c r="P19" s="15" t="s">
        <v>63</v>
      </c>
      <c r="Q19" s="15" t="s">
        <v>63</v>
      </c>
      <c r="R19" s="15" t="s">
        <v>63</v>
      </c>
      <c r="S19" s="15" t="s">
        <v>63</v>
      </c>
      <c r="T19" s="15" t="s">
        <v>63</v>
      </c>
      <c r="U19" s="15" t="s">
        <v>63</v>
      </c>
      <c r="V19" s="15" t="s">
        <v>63</v>
      </c>
      <c r="W19" s="4">
        <f t="shared" si="4"/>
        <v>49</v>
      </c>
      <c r="Y19" s="9">
        <v>2</v>
      </c>
      <c r="Z19" s="9" t="s">
        <v>63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15" t="s">
        <v>63</v>
      </c>
      <c r="AG19" s="15" t="s">
        <v>63</v>
      </c>
      <c r="AH19" s="15" t="s">
        <v>63</v>
      </c>
      <c r="AI19" s="15" t="s">
        <v>63</v>
      </c>
      <c r="AJ19" s="15" t="s">
        <v>63</v>
      </c>
      <c r="AK19" s="15" t="s">
        <v>63</v>
      </c>
      <c r="AL19" s="15" t="s">
        <v>63</v>
      </c>
      <c r="AM19" s="15" t="s">
        <v>63</v>
      </c>
      <c r="AN19" s="4">
        <f t="shared" si="5"/>
        <v>2</v>
      </c>
    </row>
    <row r="20" spans="1:40" x14ac:dyDescent="0.25">
      <c r="A20" s="26"/>
      <c r="B20" s="27"/>
      <c r="C20" s="17"/>
      <c r="D20" s="17"/>
      <c r="E20" s="18"/>
      <c r="F20" s="19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2"/>
      <c r="X20" s="31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32"/>
    </row>
    <row r="21" spans="1:40" ht="15.75" thickBot="1" x14ac:dyDescent="0.3">
      <c r="A21" s="26"/>
      <c r="B21" s="20" t="s">
        <v>106</v>
      </c>
      <c r="C21" s="21">
        <f>W21</f>
        <v>129.5</v>
      </c>
      <c r="D21" s="21">
        <f>$W$22</f>
        <v>290</v>
      </c>
      <c r="E21" s="22">
        <f>C21/D21</f>
        <v>0.44655172413793104</v>
      </c>
      <c r="F21" s="23">
        <f>AN21</f>
        <v>15</v>
      </c>
      <c r="H21" s="9">
        <v>9</v>
      </c>
      <c r="I21" s="9">
        <v>12</v>
      </c>
      <c r="J21" s="9">
        <v>9</v>
      </c>
      <c r="K21" s="9">
        <v>16</v>
      </c>
      <c r="L21" s="9">
        <v>5.5</v>
      </c>
      <c r="M21" s="9">
        <v>7.5</v>
      </c>
      <c r="N21" s="9">
        <v>10</v>
      </c>
      <c r="O21" s="9">
        <v>9</v>
      </c>
      <c r="P21" s="9">
        <v>6</v>
      </c>
      <c r="Q21" s="9">
        <v>9</v>
      </c>
      <c r="R21" s="9">
        <v>8</v>
      </c>
      <c r="S21" s="9">
        <v>9</v>
      </c>
      <c r="T21" s="9">
        <v>10</v>
      </c>
      <c r="U21" s="9">
        <v>2.5</v>
      </c>
      <c r="V21" s="9">
        <v>7</v>
      </c>
      <c r="W21" s="4">
        <f>SUM(H21:V21)</f>
        <v>129.5</v>
      </c>
      <c r="Y21" s="9">
        <v>1</v>
      </c>
      <c r="Z21" s="9" t="s">
        <v>63</v>
      </c>
      <c r="AA21" s="9">
        <v>0</v>
      </c>
      <c r="AB21" s="9">
        <v>2</v>
      </c>
      <c r="AC21" s="9">
        <v>1</v>
      </c>
      <c r="AD21" s="9">
        <v>1</v>
      </c>
      <c r="AE21" s="9">
        <v>1</v>
      </c>
      <c r="AF21" s="9">
        <v>1</v>
      </c>
      <c r="AG21" s="9">
        <v>0</v>
      </c>
      <c r="AH21" s="9">
        <v>1</v>
      </c>
      <c r="AI21" s="9">
        <v>1</v>
      </c>
      <c r="AJ21" s="9">
        <v>2</v>
      </c>
      <c r="AK21" s="9">
        <v>1</v>
      </c>
      <c r="AL21" s="9">
        <v>1</v>
      </c>
      <c r="AM21" s="9">
        <v>2</v>
      </c>
      <c r="AN21" s="4">
        <f>SUM(Y21:AM21)</f>
        <v>15</v>
      </c>
    </row>
    <row r="22" spans="1:40" x14ac:dyDescent="0.25">
      <c r="A22" s="28"/>
      <c r="C22" s="9"/>
      <c r="D22" s="9"/>
      <c r="E22" s="9"/>
      <c r="F22" s="9"/>
      <c r="H22" s="9">
        <v>20</v>
      </c>
      <c r="I22" s="9">
        <v>20</v>
      </c>
      <c r="J22" s="9">
        <v>20</v>
      </c>
      <c r="K22" s="9">
        <v>20</v>
      </c>
      <c r="L22" s="9">
        <v>20</v>
      </c>
      <c r="M22" s="9">
        <v>19</v>
      </c>
      <c r="N22" s="9">
        <v>20</v>
      </c>
      <c r="O22" s="9">
        <v>20</v>
      </c>
      <c r="P22" s="9">
        <v>20</v>
      </c>
      <c r="Q22" s="9">
        <v>20</v>
      </c>
      <c r="R22" s="9">
        <v>20</v>
      </c>
      <c r="S22" s="9">
        <v>20</v>
      </c>
      <c r="T22" s="9">
        <v>20</v>
      </c>
      <c r="U22" s="9">
        <v>10</v>
      </c>
      <c r="V22" s="9">
        <v>21</v>
      </c>
      <c r="W22" s="29">
        <f>SUM(H22:V22)</f>
        <v>290</v>
      </c>
      <c r="AN22" s="4"/>
    </row>
    <row r="23" spans="1:40" x14ac:dyDescent="0.25">
      <c r="A23" s="28"/>
      <c r="C23" s="9"/>
      <c r="D23" s="9"/>
      <c r="E23" s="9"/>
      <c r="F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W23" s="10"/>
      <c r="AN23" s="4"/>
    </row>
    <row r="24" spans="1:40" x14ac:dyDescent="0.25">
      <c r="A24" s="28"/>
      <c r="B24" s="25" t="s">
        <v>64</v>
      </c>
      <c r="C24" s="12">
        <f>W24</f>
        <v>135</v>
      </c>
      <c r="D24" s="12">
        <f>$W$22</f>
        <v>290</v>
      </c>
      <c r="E24" s="13">
        <f>C24/D24</f>
        <v>0.46551724137931033</v>
      </c>
      <c r="F24" s="12">
        <f>AN24</f>
        <v>0</v>
      </c>
      <c r="H24" s="9">
        <v>8</v>
      </c>
      <c r="I24" s="9">
        <v>13</v>
      </c>
      <c r="J24" s="9">
        <v>8</v>
      </c>
      <c r="K24" s="9">
        <v>16</v>
      </c>
      <c r="L24" s="9">
        <v>9.5</v>
      </c>
      <c r="M24" s="9">
        <v>7.5</v>
      </c>
      <c r="N24" s="9">
        <v>10</v>
      </c>
      <c r="O24" s="9">
        <v>9</v>
      </c>
      <c r="P24" s="9">
        <v>4</v>
      </c>
      <c r="Q24" s="9">
        <v>10</v>
      </c>
      <c r="R24" s="9">
        <v>9</v>
      </c>
      <c r="S24" s="9">
        <v>9</v>
      </c>
      <c r="T24" s="9">
        <v>10</v>
      </c>
      <c r="U24" s="9">
        <v>3</v>
      </c>
      <c r="V24" s="9">
        <v>9</v>
      </c>
      <c r="W24" s="4">
        <f>SUM(H24:V24)</f>
        <v>135</v>
      </c>
      <c r="AN24" s="4"/>
    </row>
  </sheetData>
  <phoneticPr fontId="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N30"/>
  <sheetViews>
    <sheetView workbookViewId="0">
      <selection activeCell="H1" sqref="H1"/>
    </sheetView>
  </sheetViews>
  <sheetFormatPr defaultColWidth="8.85546875" defaultRowHeight="15" x14ac:dyDescent="0.25"/>
  <cols>
    <col min="1" max="1" width="7.28515625" bestFit="1" customWidth="1"/>
    <col min="2" max="2" width="18.2851562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5" bestFit="1" customWidth="1"/>
    <col min="9" max="10" width="3.42578125" bestFit="1" customWidth="1"/>
    <col min="11" max="11" width="5" bestFit="1" customWidth="1"/>
    <col min="12" max="13" width="3.42578125" bestFit="1" customWidth="1"/>
    <col min="14" max="15" width="5" bestFit="1" customWidth="1"/>
    <col min="16" max="16" width="3.42578125" bestFit="1" customWidth="1"/>
    <col min="17" max="17" width="5" bestFit="1" customWidth="1"/>
    <col min="18" max="21" width="4.42578125" bestFit="1" customWidth="1"/>
    <col min="22" max="22" width="6.28515625" bestFit="1" customWidth="1"/>
    <col min="23" max="23" width="6" bestFit="1" customWidth="1"/>
    <col min="24" max="24" width="2.7109375" customWidth="1"/>
    <col min="25" max="26" width="4" bestFit="1" customWidth="1"/>
    <col min="27" max="27" width="3" bestFit="1" customWidth="1"/>
    <col min="28" max="28" width="4" bestFit="1" customWidth="1"/>
    <col min="29" max="30" width="3" bestFit="1" customWidth="1"/>
    <col min="31" max="31" width="4" bestFit="1" customWidth="1"/>
    <col min="32" max="33" width="3" bestFit="1" customWidth="1"/>
    <col min="34" max="38" width="4" bestFit="1" customWidth="1"/>
    <col min="39" max="39" width="6.28515625" bestFit="1" customWidth="1"/>
    <col min="40" max="40" width="5.42578125" bestFit="1" customWidth="1"/>
  </cols>
  <sheetData>
    <row r="1" spans="1:40" ht="19.5" thickBot="1" x14ac:dyDescent="0.35">
      <c r="A1" s="26"/>
      <c r="B1" s="2" t="s">
        <v>65</v>
      </c>
      <c r="C1" s="3"/>
      <c r="D1" s="3"/>
      <c r="E1" s="3"/>
      <c r="F1" s="3"/>
      <c r="W1" s="4"/>
      <c r="AN1" s="4"/>
    </row>
    <row r="2" spans="1:40" x14ac:dyDescent="0.25">
      <c r="A2" s="26"/>
      <c r="B2" s="6" t="s">
        <v>0</v>
      </c>
      <c r="C2" s="7" t="s">
        <v>1</v>
      </c>
      <c r="D2" s="7" t="s">
        <v>2</v>
      </c>
      <c r="E2" s="7" t="s">
        <v>3</v>
      </c>
      <c r="F2" s="8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20</v>
      </c>
      <c r="W2" s="10" t="s">
        <v>2</v>
      </c>
      <c r="X2" s="9"/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20</v>
      </c>
      <c r="AN2" s="10" t="s">
        <v>2</v>
      </c>
    </row>
    <row r="3" spans="1:40" x14ac:dyDescent="0.25">
      <c r="A3" s="26" t="s">
        <v>111</v>
      </c>
      <c r="B3" s="11" t="s">
        <v>56</v>
      </c>
      <c r="C3" s="12">
        <f t="shared" ref="C3:C25" si="0">W3</f>
        <v>186.5</v>
      </c>
      <c r="D3" s="12">
        <f t="shared" ref="D3:D20" si="1">$W$28</f>
        <v>350</v>
      </c>
      <c r="E3" s="13">
        <f t="shared" ref="E3:E25" si="2">C3/D3</f>
        <v>0.53285714285714281</v>
      </c>
      <c r="F3" s="14">
        <f t="shared" ref="F3:F25" si="3">AN3</f>
        <v>18</v>
      </c>
      <c r="H3" s="9">
        <v>11.5</v>
      </c>
      <c r="I3" s="9">
        <v>14</v>
      </c>
      <c r="J3" s="9">
        <v>13</v>
      </c>
      <c r="K3" s="9">
        <v>11.5</v>
      </c>
      <c r="L3" s="9">
        <v>12</v>
      </c>
      <c r="M3" s="9">
        <v>16</v>
      </c>
      <c r="N3" s="9">
        <v>16.5</v>
      </c>
      <c r="O3" s="9">
        <v>11</v>
      </c>
      <c r="P3" s="9">
        <v>15</v>
      </c>
      <c r="Q3" s="9">
        <v>14</v>
      </c>
      <c r="R3" s="9">
        <v>10</v>
      </c>
      <c r="S3" s="9">
        <v>14</v>
      </c>
      <c r="T3" s="9">
        <v>13</v>
      </c>
      <c r="U3" s="9">
        <v>4</v>
      </c>
      <c r="V3" s="9">
        <v>11</v>
      </c>
      <c r="W3" s="4">
        <f t="shared" ref="W3:W25" si="4">SUM(H3:V3)</f>
        <v>186.5</v>
      </c>
      <c r="Y3" s="9">
        <v>0.5</v>
      </c>
      <c r="Z3" s="9">
        <v>1</v>
      </c>
      <c r="AA3" s="9">
        <v>2</v>
      </c>
      <c r="AB3" s="9">
        <v>0.5</v>
      </c>
      <c r="AC3" s="9">
        <v>2</v>
      </c>
      <c r="AD3" s="9">
        <v>2</v>
      </c>
      <c r="AE3" s="9">
        <v>2</v>
      </c>
      <c r="AF3" s="9">
        <v>1</v>
      </c>
      <c r="AG3" s="9">
        <v>2</v>
      </c>
      <c r="AH3" s="9">
        <v>0</v>
      </c>
      <c r="AI3" s="9">
        <v>0</v>
      </c>
      <c r="AJ3" s="9">
        <v>2</v>
      </c>
      <c r="AK3" s="9">
        <v>1</v>
      </c>
      <c r="AL3" s="9">
        <v>0</v>
      </c>
      <c r="AM3" s="9">
        <v>2</v>
      </c>
      <c r="AN3" s="4">
        <f t="shared" ref="AN3:AN25" si="5">SUM(Y3:AM3)</f>
        <v>18</v>
      </c>
    </row>
    <row r="4" spans="1:40" x14ac:dyDescent="0.25">
      <c r="A4" s="26" t="s">
        <v>112</v>
      </c>
      <c r="B4" s="11" t="s">
        <v>50</v>
      </c>
      <c r="C4" s="12">
        <f t="shared" si="0"/>
        <v>186.5</v>
      </c>
      <c r="D4" s="12">
        <f t="shared" si="1"/>
        <v>350</v>
      </c>
      <c r="E4" s="13">
        <f t="shared" si="2"/>
        <v>0.53285714285714281</v>
      </c>
      <c r="F4" s="14">
        <f t="shared" si="3"/>
        <v>14</v>
      </c>
      <c r="H4" s="9">
        <v>13.5</v>
      </c>
      <c r="I4" s="9">
        <v>15</v>
      </c>
      <c r="J4" s="9">
        <v>14</v>
      </c>
      <c r="K4" s="9">
        <v>11.5</v>
      </c>
      <c r="L4" s="9">
        <v>13</v>
      </c>
      <c r="M4" s="9">
        <v>15</v>
      </c>
      <c r="N4" s="9">
        <v>16.5</v>
      </c>
      <c r="O4" s="9">
        <v>15</v>
      </c>
      <c r="P4" s="9">
        <v>13</v>
      </c>
      <c r="Q4" s="9">
        <v>11</v>
      </c>
      <c r="R4" s="9">
        <v>9</v>
      </c>
      <c r="S4" s="9">
        <v>11</v>
      </c>
      <c r="T4" s="9">
        <v>15</v>
      </c>
      <c r="U4" s="9">
        <v>4</v>
      </c>
      <c r="V4" s="9">
        <v>10</v>
      </c>
      <c r="W4" s="4">
        <f t="shared" si="4"/>
        <v>186.5</v>
      </c>
      <c r="Y4" s="9">
        <v>2</v>
      </c>
      <c r="Z4" s="9">
        <v>0</v>
      </c>
      <c r="AA4" s="9">
        <v>0</v>
      </c>
      <c r="AB4" s="9">
        <v>0</v>
      </c>
      <c r="AC4" s="9">
        <v>1</v>
      </c>
      <c r="AD4" s="9">
        <v>0</v>
      </c>
      <c r="AE4" s="9">
        <v>2</v>
      </c>
      <c r="AF4" s="9">
        <v>1</v>
      </c>
      <c r="AG4" s="9">
        <v>0</v>
      </c>
      <c r="AH4" s="9">
        <v>1</v>
      </c>
      <c r="AI4" s="9">
        <v>2</v>
      </c>
      <c r="AJ4" s="9">
        <v>1</v>
      </c>
      <c r="AK4" s="9">
        <v>2</v>
      </c>
      <c r="AL4" s="9">
        <v>0</v>
      </c>
      <c r="AM4" s="9">
        <v>2</v>
      </c>
      <c r="AN4" s="4">
        <f t="shared" si="5"/>
        <v>14</v>
      </c>
    </row>
    <row r="5" spans="1:40" x14ac:dyDescent="0.25">
      <c r="A5" s="26" t="s">
        <v>113</v>
      </c>
      <c r="B5" s="11" t="s">
        <v>48</v>
      </c>
      <c r="C5" s="12">
        <f t="shared" si="0"/>
        <v>184</v>
      </c>
      <c r="D5" s="12">
        <f t="shared" si="1"/>
        <v>350</v>
      </c>
      <c r="E5" s="13">
        <f t="shared" si="2"/>
        <v>0.52571428571428569</v>
      </c>
      <c r="F5" s="14">
        <f t="shared" si="3"/>
        <v>17</v>
      </c>
      <c r="H5" s="9">
        <v>14</v>
      </c>
      <c r="I5" s="9">
        <v>12</v>
      </c>
      <c r="J5" s="9">
        <v>12</v>
      </c>
      <c r="K5" s="9">
        <v>13.5</v>
      </c>
      <c r="L5" s="9">
        <v>14</v>
      </c>
      <c r="M5" s="9">
        <v>10</v>
      </c>
      <c r="N5" s="9">
        <v>13.5</v>
      </c>
      <c r="O5" s="9">
        <v>18</v>
      </c>
      <c r="P5" s="9">
        <v>9</v>
      </c>
      <c r="Q5" s="9">
        <v>14</v>
      </c>
      <c r="R5" s="9">
        <v>12</v>
      </c>
      <c r="S5" s="9">
        <v>13</v>
      </c>
      <c r="T5" s="9">
        <v>15</v>
      </c>
      <c r="U5" s="9">
        <v>4</v>
      </c>
      <c r="V5" s="9">
        <v>10</v>
      </c>
      <c r="W5" s="4">
        <f t="shared" si="4"/>
        <v>184</v>
      </c>
      <c r="Y5" s="9">
        <v>1</v>
      </c>
      <c r="Z5" s="9">
        <v>1</v>
      </c>
      <c r="AA5" s="9">
        <v>1</v>
      </c>
      <c r="AB5" s="9">
        <v>0.5</v>
      </c>
      <c r="AC5" s="9">
        <v>1</v>
      </c>
      <c r="AD5" s="9">
        <v>1</v>
      </c>
      <c r="AE5" s="9">
        <v>1.5</v>
      </c>
      <c r="AF5" s="9">
        <v>2</v>
      </c>
      <c r="AG5" s="9">
        <v>1</v>
      </c>
      <c r="AH5" s="9">
        <v>1</v>
      </c>
      <c r="AI5" s="9">
        <v>1</v>
      </c>
      <c r="AJ5" s="9">
        <v>1</v>
      </c>
      <c r="AK5" s="9">
        <v>1</v>
      </c>
      <c r="AL5" s="9">
        <v>1</v>
      </c>
      <c r="AM5" s="9">
        <v>2</v>
      </c>
      <c r="AN5" s="4">
        <f t="shared" si="5"/>
        <v>17</v>
      </c>
    </row>
    <row r="6" spans="1:40" x14ac:dyDescent="0.25">
      <c r="A6" s="26" t="s">
        <v>114</v>
      </c>
      <c r="B6" s="11" t="s">
        <v>60</v>
      </c>
      <c r="C6" s="12">
        <f t="shared" si="0"/>
        <v>183.5</v>
      </c>
      <c r="D6" s="12">
        <f t="shared" si="1"/>
        <v>350</v>
      </c>
      <c r="E6" s="13">
        <f t="shared" si="2"/>
        <v>0.52428571428571424</v>
      </c>
      <c r="F6" s="14">
        <f t="shared" si="3"/>
        <v>13.5</v>
      </c>
      <c r="H6" s="9">
        <v>10.5</v>
      </c>
      <c r="I6" s="9">
        <v>14</v>
      </c>
      <c r="J6" s="9">
        <v>13</v>
      </c>
      <c r="K6" s="9">
        <v>8.5</v>
      </c>
      <c r="L6" s="9">
        <v>14</v>
      </c>
      <c r="M6" s="9">
        <v>14</v>
      </c>
      <c r="N6" s="9">
        <v>12.5</v>
      </c>
      <c r="O6" s="9">
        <v>16</v>
      </c>
      <c r="P6" s="9">
        <v>12</v>
      </c>
      <c r="Q6" s="9">
        <v>17</v>
      </c>
      <c r="R6" s="9">
        <v>13</v>
      </c>
      <c r="S6" s="9">
        <v>13</v>
      </c>
      <c r="T6" s="9">
        <v>10</v>
      </c>
      <c r="U6" s="9">
        <v>6</v>
      </c>
      <c r="V6" s="9">
        <v>10</v>
      </c>
      <c r="W6" s="4">
        <f t="shared" si="4"/>
        <v>183.5</v>
      </c>
      <c r="Y6" s="9">
        <v>0</v>
      </c>
      <c r="Z6" s="9">
        <v>1</v>
      </c>
      <c r="AA6" s="9">
        <v>0</v>
      </c>
      <c r="AB6" s="9">
        <v>0.5</v>
      </c>
      <c r="AC6" s="9">
        <v>2</v>
      </c>
      <c r="AD6" s="9">
        <v>0</v>
      </c>
      <c r="AE6" s="9">
        <v>2</v>
      </c>
      <c r="AF6" s="9">
        <v>1</v>
      </c>
      <c r="AG6" s="9">
        <v>1</v>
      </c>
      <c r="AH6" s="9">
        <v>1</v>
      </c>
      <c r="AI6" s="9">
        <v>0</v>
      </c>
      <c r="AJ6" s="9">
        <v>1</v>
      </c>
      <c r="AK6" s="9">
        <v>1</v>
      </c>
      <c r="AL6" s="9">
        <v>1</v>
      </c>
      <c r="AM6" s="9">
        <v>2</v>
      </c>
      <c r="AN6" s="4">
        <f t="shared" si="5"/>
        <v>13.5</v>
      </c>
    </row>
    <row r="7" spans="1:40" x14ac:dyDescent="0.25">
      <c r="A7" s="26" t="s">
        <v>115</v>
      </c>
      <c r="B7" s="11" t="s">
        <v>66</v>
      </c>
      <c r="C7" s="12">
        <f t="shared" si="0"/>
        <v>181.5</v>
      </c>
      <c r="D7" s="12">
        <f t="shared" si="1"/>
        <v>350</v>
      </c>
      <c r="E7" s="13">
        <f t="shared" si="2"/>
        <v>0.51857142857142857</v>
      </c>
      <c r="F7" s="14">
        <f t="shared" si="3"/>
        <v>16</v>
      </c>
      <c r="H7" s="9">
        <v>12.5</v>
      </c>
      <c r="I7" s="9">
        <v>12</v>
      </c>
      <c r="J7" s="9">
        <v>10</v>
      </c>
      <c r="K7" s="9">
        <v>10.5</v>
      </c>
      <c r="L7" s="9">
        <v>13</v>
      </c>
      <c r="M7" s="9">
        <v>15</v>
      </c>
      <c r="N7" s="9">
        <v>14.5</v>
      </c>
      <c r="O7" s="9">
        <v>15</v>
      </c>
      <c r="P7" s="9">
        <v>12</v>
      </c>
      <c r="Q7" s="9">
        <v>10</v>
      </c>
      <c r="R7" s="9">
        <v>14</v>
      </c>
      <c r="S7" s="9">
        <v>12</v>
      </c>
      <c r="T7" s="9">
        <v>14</v>
      </c>
      <c r="U7" s="9">
        <v>3</v>
      </c>
      <c r="V7" s="9">
        <v>14</v>
      </c>
      <c r="W7" s="4">
        <f t="shared" si="4"/>
        <v>181.5</v>
      </c>
      <c r="Y7" s="9">
        <v>1</v>
      </c>
      <c r="Z7" s="9">
        <v>1</v>
      </c>
      <c r="AA7" s="9">
        <v>0</v>
      </c>
      <c r="AB7" s="9">
        <v>0</v>
      </c>
      <c r="AC7" s="9">
        <v>1</v>
      </c>
      <c r="AD7" s="9">
        <v>1</v>
      </c>
      <c r="AE7" s="9">
        <v>1</v>
      </c>
      <c r="AF7" s="9">
        <v>1</v>
      </c>
      <c r="AG7" s="9">
        <v>2</v>
      </c>
      <c r="AH7" s="9">
        <v>1</v>
      </c>
      <c r="AI7" s="9">
        <v>2</v>
      </c>
      <c r="AJ7" s="9">
        <v>1</v>
      </c>
      <c r="AK7" s="9">
        <v>0</v>
      </c>
      <c r="AL7" s="9">
        <v>1</v>
      </c>
      <c r="AM7" s="9">
        <v>3</v>
      </c>
      <c r="AN7" s="4">
        <f t="shared" si="5"/>
        <v>16</v>
      </c>
    </row>
    <row r="8" spans="1:40" x14ac:dyDescent="0.25">
      <c r="A8" s="26" t="s">
        <v>116</v>
      </c>
      <c r="B8" s="11" t="s">
        <v>67</v>
      </c>
      <c r="C8" s="12">
        <f t="shared" si="0"/>
        <v>180.5</v>
      </c>
      <c r="D8" s="12">
        <f t="shared" si="1"/>
        <v>350</v>
      </c>
      <c r="E8" s="13">
        <f t="shared" si="2"/>
        <v>0.51571428571428568</v>
      </c>
      <c r="F8" s="14">
        <f t="shared" si="3"/>
        <v>13</v>
      </c>
      <c r="H8" s="9">
        <v>12.5</v>
      </c>
      <c r="I8" s="9">
        <v>12</v>
      </c>
      <c r="J8" s="9">
        <v>11</v>
      </c>
      <c r="K8" s="9">
        <v>14.5</v>
      </c>
      <c r="L8" s="9">
        <v>9</v>
      </c>
      <c r="M8" s="9">
        <v>13</v>
      </c>
      <c r="N8" s="9">
        <v>15.5</v>
      </c>
      <c r="O8" s="9">
        <v>14</v>
      </c>
      <c r="P8" s="9">
        <v>13</v>
      </c>
      <c r="Q8" s="9">
        <v>11</v>
      </c>
      <c r="R8" s="9">
        <v>11</v>
      </c>
      <c r="S8" s="9">
        <v>12</v>
      </c>
      <c r="T8" s="9">
        <v>17</v>
      </c>
      <c r="U8" s="9">
        <v>4</v>
      </c>
      <c r="V8" s="9">
        <v>11</v>
      </c>
      <c r="W8" s="4">
        <f t="shared" si="4"/>
        <v>180.5</v>
      </c>
      <c r="Y8" s="9">
        <v>1</v>
      </c>
      <c r="Z8" s="9">
        <v>0</v>
      </c>
      <c r="AA8" s="9">
        <v>1</v>
      </c>
      <c r="AB8" s="9">
        <v>1.5</v>
      </c>
      <c r="AC8" s="9">
        <v>0</v>
      </c>
      <c r="AD8" s="9">
        <v>1</v>
      </c>
      <c r="AE8" s="9">
        <v>1.5</v>
      </c>
      <c r="AF8" s="9">
        <v>0</v>
      </c>
      <c r="AG8" s="9">
        <v>2</v>
      </c>
      <c r="AH8" s="9">
        <v>0</v>
      </c>
      <c r="AI8" s="9">
        <v>1</v>
      </c>
      <c r="AJ8" s="9">
        <v>1</v>
      </c>
      <c r="AK8" s="9">
        <v>2</v>
      </c>
      <c r="AL8" s="9">
        <v>0</v>
      </c>
      <c r="AM8" s="9">
        <v>1</v>
      </c>
      <c r="AN8" s="4">
        <f t="shared" si="5"/>
        <v>13</v>
      </c>
    </row>
    <row r="9" spans="1:40" x14ac:dyDescent="0.25">
      <c r="A9" s="26" t="s">
        <v>117</v>
      </c>
      <c r="B9" s="11" t="s">
        <v>45</v>
      </c>
      <c r="C9" s="12">
        <f t="shared" si="0"/>
        <v>179.5</v>
      </c>
      <c r="D9" s="12">
        <f t="shared" si="1"/>
        <v>350</v>
      </c>
      <c r="E9" s="13">
        <f t="shared" si="2"/>
        <v>0.5128571428571429</v>
      </c>
      <c r="F9" s="14">
        <f t="shared" si="3"/>
        <v>14</v>
      </c>
      <c r="H9" s="9">
        <v>14.5</v>
      </c>
      <c r="I9" s="9">
        <v>13</v>
      </c>
      <c r="J9" s="9">
        <v>8</v>
      </c>
      <c r="K9" s="9">
        <v>13.5</v>
      </c>
      <c r="L9" s="9">
        <v>11</v>
      </c>
      <c r="M9" s="9">
        <v>10</v>
      </c>
      <c r="N9" s="9">
        <v>14.5</v>
      </c>
      <c r="O9" s="9">
        <v>16</v>
      </c>
      <c r="P9" s="9">
        <v>13</v>
      </c>
      <c r="Q9" s="9">
        <v>12</v>
      </c>
      <c r="R9" s="9">
        <v>11</v>
      </c>
      <c r="S9" s="9">
        <v>13</v>
      </c>
      <c r="T9" s="9">
        <v>18</v>
      </c>
      <c r="U9" s="9">
        <v>3</v>
      </c>
      <c r="V9" s="9">
        <v>9</v>
      </c>
      <c r="W9" s="4">
        <f t="shared" si="4"/>
        <v>179.5</v>
      </c>
      <c r="Y9" s="9">
        <v>0</v>
      </c>
      <c r="Z9" s="9">
        <v>1</v>
      </c>
      <c r="AA9" s="9">
        <v>0</v>
      </c>
      <c r="AB9" s="9">
        <v>0</v>
      </c>
      <c r="AC9" s="9">
        <v>2</v>
      </c>
      <c r="AD9" s="9">
        <v>0</v>
      </c>
      <c r="AE9" s="9">
        <v>2</v>
      </c>
      <c r="AF9" s="9">
        <v>2</v>
      </c>
      <c r="AG9" s="9">
        <v>1</v>
      </c>
      <c r="AH9" s="9">
        <v>0</v>
      </c>
      <c r="AI9" s="9">
        <v>1</v>
      </c>
      <c r="AJ9" s="9">
        <v>1</v>
      </c>
      <c r="AK9" s="9">
        <v>1</v>
      </c>
      <c r="AL9" s="9">
        <v>1</v>
      </c>
      <c r="AM9" s="9">
        <v>2</v>
      </c>
      <c r="AN9" s="4">
        <f t="shared" si="5"/>
        <v>14</v>
      </c>
    </row>
    <row r="10" spans="1:40" x14ac:dyDescent="0.25">
      <c r="A10" s="26" t="s">
        <v>118</v>
      </c>
      <c r="B10" s="11" t="s">
        <v>47</v>
      </c>
      <c r="C10" s="12">
        <f t="shared" si="0"/>
        <v>177.5</v>
      </c>
      <c r="D10" s="12">
        <f t="shared" si="1"/>
        <v>350</v>
      </c>
      <c r="E10" s="13">
        <f t="shared" si="2"/>
        <v>0.50714285714285712</v>
      </c>
      <c r="F10" s="14">
        <f t="shared" si="3"/>
        <v>17</v>
      </c>
      <c r="H10" s="9">
        <v>14.5</v>
      </c>
      <c r="I10" s="9">
        <v>14</v>
      </c>
      <c r="J10" s="9">
        <v>14</v>
      </c>
      <c r="K10" s="9">
        <v>13.5</v>
      </c>
      <c r="L10" s="9">
        <v>9</v>
      </c>
      <c r="M10" s="9">
        <v>16</v>
      </c>
      <c r="N10" s="9">
        <v>16.5</v>
      </c>
      <c r="O10" s="9">
        <v>13</v>
      </c>
      <c r="P10" s="9">
        <v>12</v>
      </c>
      <c r="Q10" s="9">
        <v>9</v>
      </c>
      <c r="R10" s="9">
        <v>9</v>
      </c>
      <c r="S10" s="9">
        <v>9</v>
      </c>
      <c r="T10" s="9">
        <v>8</v>
      </c>
      <c r="U10" s="9">
        <v>7</v>
      </c>
      <c r="V10" s="9">
        <v>13</v>
      </c>
      <c r="W10" s="4">
        <f t="shared" si="4"/>
        <v>177.5</v>
      </c>
      <c r="Y10" s="9">
        <v>2</v>
      </c>
      <c r="Z10" s="9">
        <v>1</v>
      </c>
      <c r="AA10" s="9">
        <v>2</v>
      </c>
      <c r="AB10" s="9">
        <v>0.5</v>
      </c>
      <c r="AC10" s="9">
        <v>1</v>
      </c>
      <c r="AD10" s="9">
        <v>1</v>
      </c>
      <c r="AE10" s="9">
        <v>1.5</v>
      </c>
      <c r="AF10" s="9">
        <v>2</v>
      </c>
      <c r="AG10" s="9">
        <v>1</v>
      </c>
      <c r="AH10" s="9">
        <v>0</v>
      </c>
      <c r="AI10" s="9">
        <v>1</v>
      </c>
      <c r="AJ10" s="9">
        <v>2</v>
      </c>
      <c r="AK10" s="9">
        <v>0</v>
      </c>
      <c r="AL10" s="9">
        <v>1</v>
      </c>
      <c r="AM10" s="9">
        <v>1</v>
      </c>
      <c r="AN10" s="4">
        <f t="shared" si="5"/>
        <v>17</v>
      </c>
    </row>
    <row r="11" spans="1:40" x14ac:dyDescent="0.25">
      <c r="A11" s="26" t="s">
        <v>119</v>
      </c>
      <c r="B11" s="11" t="s">
        <v>68</v>
      </c>
      <c r="C11" s="12">
        <f t="shared" si="0"/>
        <v>177.5</v>
      </c>
      <c r="D11" s="12">
        <f t="shared" si="1"/>
        <v>350</v>
      </c>
      <c r="E11" s="13">
        <f t="shared" si="2"/>
        <v>0.50714285714285712</v>
      </c>
      <c r="F11" s="14">
        <f t="shared" si="3"/>
        <v>16</v>
      </c>
      <c r="H11" s="9">
        <v>16.5</v>
      </c>
      <c r="I11" s="9">
        <v>16</v>
      </c>
      <c r="J11" s="9">
        <v>15</v>
      </c>
      <c r="K11" s="9">
        <v>6.5</v>
      </c>
      <c r="L11" s="9">
        <v>9</v>
      </c>
      <c r="M11" s="9">
        <v>15</v>
      </c>
      <c r="N11" s="9">
        <v>13.5</v>
      </c>
      <c r="O11" s="9">
        <v>12</v>
      </c>
      <c r="P11" s="9">
        <v>11</v>
      </c>
      <c r="Q11" s="9">
        <v>16</v>
      </c>
      <c r="R11" s="9">
        <v>9</v>
      </c>
      <c r="S11" s="9">
        <v>13</v>
      </c>
      <c r="T11" s="9">
        <v>13</v>
      </c>
      <c r="U11" s="9">
        <v>3</v>
      </c>
      <c r="V11" s="9">
        <v>9</v>
      </c>
      <c r="W11" s="4">
        <f t="shared" si="4"/>
        <v>177.5</v>
      </c>
      <c r="Y11" s="9">
        <v>1</v>
      </c>
      <c r="Z11" s="9">
        <v>1</v>
      </c>
      <c r="AA11" s="9">
        <v>1</v>
      </c>
      <c r="AB11" s="9">
        <v>0</v>
      </c>
      <c r="AC11" s="9">
        <v>1</v>
      </c>
      <c r="AD11" s="9">
        <v>1</v>
      </c>
      <c r="AE11" s="9">
        <v>2</v>
      </c>
      <c r="AF11" s="9">
        <v>1</v>
      </c>
      <c r="AG11" s="9">
        <v>2</v>
      </c>
      <c r="AH11" s="9">
        <v>2</v>
      </c>
      <c r="AI11" s="9">
        <v>0</v>
      </c>
      <c r="AJ11" s="9">
        <v>2</v>
      </c>
      <c r="AK11" s="9">
        <v>1</v>
      </c>
      <c r="AL11" s="9">
        <v>0</v>
      </c>
      <c r="AM11" s="9">
        <v>1</v>
      </c>
      <c r="AN11" s="4">
        <f t="shared" si="5"/>
        <v>16</v>
      </c>
    </row>
    <row r="12" spans="1:40" x14ac:dyDescent="0.25">
      <c r="A12" s="26" t="s">
        <v>120</v>
      </c>
      <c r="B12" s="11" t="s">
        <v>55</v>
      </c>
      <c r="C12" s="12">
        <f t="shared" si="0"/>
        <v>177.5</v>
      </c>
      <c r="D12" s="12">
        <f t="shared" si="1"/>
        <v>350</v>
      </c>
      <c r="E12" s="13">
        <f t="shared" si="2"/>
        <v>0.50714285714285712</v>
      </c>
      <c r="F12" s="14">
        <f t="shared" si="3"/>
        <v>12</v>
      </c>
      <c r="H12" s="9">
        <v>14.5</v>
      </c>
      <c r="I12" s="9">
        <v>12</v>
      </c>
      <c r="J12" s="9">
        <v>14</v>
      </c>
      <c r="K12" s="9">
        <v>9.5</v>
      </c>
      <c r="L12" s="9">
        <v>7</v>
      </c>
      <c r="M12" s="9">
        <v>12</v>
      </c>
      <c r="N12" s="9">
        <v>17.5</v>
      </c>
      <c r="O12" s="9">
        <v>16</v>
      </c>
      <c r="P12" s="9">
        <v>13</v>
      </c>
      <c r="Q12" s="9">
        <v>13</v>
      </c>
      <c r="R12" s="9">
        <v>11</v>
      </c>
      <c r="S12" s="9">
        <v>10</v>
      </c>
      <c r="T12" s="9">
        <v>16</v>
      </c>
      <c r="U12" s="9">
        <v>2</v>
      </c>
      <c r="V12" s="9">
        <v>10</v>
      </c>
      <c r="W12" s="4">
        <f t="shared" si="4"/>
        <v>177.5</v>
      </c>
      <c r="Y12" s="9">
        <v>1</v>
      </c>
      <c r="Z12" s="9">
        <v>0</v>
      </c>
      <c r="AA12" s="9">
        <v>0</v>
      </c>
      <c r="AB12" s="9">
        <v>2</v>
      </c>
      <c r="AC12" s="9">
        <v>1</v>
      </c>
      <c r="AD12" s="9">
        <v>0</v>
      </c>
      <c r="AE12" s="9">
        <v>2</v>
      </c>
      <c r="AF12" s="9">
        <v>1</v>
      </c>
      <c r="AG12" s="9">
        <v>1</v>
      </c>
      <c r="AH12" s="9">
        <v>0</v>
      </c>
      <c r="AI12" s="9">
        <v>1</v>
      </c>
      <c r="AJ12" s="9">
        <v>0</v>
      </c>
      <c r="AK12" s="9">
        <v>2</v>
      </c>
      <c r="AL12" s="9">
        <v>0</v>
      </c>
      <c r="AM12" s="9">
        <v>1</v>
      </c>
      <c r="AN12" s="4">
        <f t="shared" si="5"/>
        <v>12</v>
      </c>
    </row>
    <row r="13" spans="1:40" x14ac:dyDescent="0.25">
      <c r="A13" s="26" t="s">
        <v>121</v>
      </c>
      <c r="B13" s="11" t="s">
        <v>40</v>
      </c>
      <c r="C13" s="12">
        <f t="shared" si="0"/>
        <v>175.5</v>
      </c>
      <c r="D13" s="12">
        <f t="shared" si="1"/>
        <v>350</v>
      </c>
      <c r="E13" s="13">
        <f t="shared" si="2"/>
        <v>0.50142857142857145</v>
      </c>
      <c r="F13" s="14">
        <f t="shared" si="3"/>
        <v>15.5</v>
      </c>
      <c r="H13" s="9">
        <v>19.5</v>
      </c>
      <c r="I13" s="9">
        <v>8</v>
      </c>
      <c r="J13" s="9">
        <v>14</v>
      </c>
      <c r="K13" s="9">
        <v>10.5</v>
      </c>
      <c r="L13" s="9">
        <v>15</v>
      </c>
      <c r="M13" s="9">
        <v>10</v>
      </c>
      <c r="N13" s="9">
        <v>8.5</v>
      </c>
      <c r="O13" s="9">
        <v>14</v>
      </c>
      <c r="P13" s="9">
        <v>12</v>
      </c>
      <c r="Q13" s="9">
        <v>11</v>
      </c>
      <c r="R13" s="9">
        <v>13</v>
      </c>
      <c r="S13" s="9">
        <v>13</v>
      </c>
      <c r="T13" s="9">
        <v>10</v>
      </c>
      <c r="U13" s="9">
        <v>6</v>
      </c>
      <c r="V13" s="9">
        <v>11</v>
      </c>
      <c r="W13" s="4">
        <f t="shared" si="4"/>
        <v>175.5</v>
      </c>
      <c r="Y13" s="9">
        <v>2</v>
      </c>
      <c r="Z13" s="9">
        <v>0</v>
      </c>
      <c r="AA13" s="9">
        <v>2</v>
      </c>
      <c r="AB13" s="9">
        <v>0</v>
      </c>
      <c r="AC13" s="9">
        <v>1</v>
      </c>
      <c r="AD13" s="9">
        <v>0</v>
      </c>
      <c r="AE13" s="9">
        <v>1.5</v>
      </c>
      <c r="AF13" s="9">
        <v>2</v>
      </c>
      <c r="AG13" s="9">
        <v>0</v>
      </c>
      <c r="AH13" s="9">
        <v>1</v>
      </c>
      <c r="AI13" s="9">
        <v>1</v>
      </c>
      <c r="AJ13" s="9">
        <v>1</v>
      </c>
      <c r="AK13" s="9">
        <v>1</v>
      </c>
      <c r="AL13" s="9">
        <v>1</v>
      </c>
      <c r="AM13" s="9">
        <v>2</v>
      </c>
      <c r="AN13" s="4">
        <f t="shared" si="5"/>
        <v>15.5</v>
      </c>
    </row>
    <row r="14" spans="1:40" x14ac:dyDescent="0.25">
      <c r="A14" s="26" t="s">
        <v>122</v>
      </c>
      <c r="B14" s="11" t="s">
        <v>53</v>
      </c>
      <c r="C14" s="12">
        <f t="shared" si="0"/>
        <v>175.5</v>
      </c>
      <c r="D14" s="12">
        <f t="shared" si="1"/>
        <v>350</v>
      </c>
      <c r="E14" s="13">
        <f t="shared" si="2"/>
        <v>0.50142857142857145</v>
      </c>
      <c r="F14" s="14">
        <f t="shared" si="3"/>
        <v>15</v>
      </c>
      <c r="H14" s="9">
        <v>10.5</v>
      </c>
      <c r="I14" s="9">
        <v>7</v>
      </c>
      <c r="J14" s="9">
        <v>12</v>
      </c>
      <c r="K14" s="9">
        <v>10.5</v>
      </c>
      <c r="L14" s="9">
        <v>14</v>
      </c>
      <c r="M14" s="9">
        <v>17</v>
      </c>
      <c r="N14" s="9">
        <v>14.5</v>
      </c>
      <c r="O14" s="9">
        <v>16</v>
      </c>
      <c r="P14" s="9">
        <v>12</v>
      </c>
      <c r="Q14" s="9">
        <v>14</v>
      </c>
      <c r="R14" s="9">
        <v>13</v>
      </c>
      <c r="S14" s="9">
        <v>11</v>
      </c>
      <c r="T14" s="9">
        <v>8</v>
      </c>
      <c r="U14" s="9">
        <v>6</v>
      </c>
      <c r="V14" s="9">
        <v>10</v>
      </c>
      <c r="W14" s="4">
        <f t="shared" si="4"/>
        <v>175.5</v>
      </c>
      <c r="Y14" s="9">
        <v>0</v>
      </c>
      <c r="Z14" s="9">
        <v>0</v>
      </c>
      <c r="AA14" s="9">
        <v>0</v>
      </c>
      <c r="AB14" s="9">
        <v>1</v>
      </c>
      <c r="AC14" s="9">
        <v>2</v>
      </c>
      <c r="AD14" s="9">
        <v>1</v>
      </c>
      <c r="AE14" s="9">
        <v>2</v>
      </c>
      <c r="AF14" s="9">
        <v>1</v>
      </c>
      <c r="AG14" s="9">
        <v>2</v>
      </c>
      <c r="AH14" s="9">
        <v>1</v>
      </c>
      <c r="AI14" s="9">
        <v>2</v>
      </c>
      <c r="AJ14" s="9">
        <v>1</v>
      </c>
      <c r="AK14" s="9">
        <v>0</v>
      </c>
      <c r="AL14" s="9">
        <v>1</v>
      </c>
      <c r="AM14" s="9">
        <v>1</v>
      </c>
      <c r="AN14" s="4">
        <f t="shared" si="5"/>
        <v>15</v>
      </c>
    </row>
    <row r="15" spans="1:40" x14ac:dyDescent="0.25">
      <c r="A15" s="26" t="s">
        <v>123</v>
      </c>
      <c r="B15" s="11" t="s">
        <v>69</v>
      </c>
      <c r="C15" s="12">
        <f t="shared" si="0"/>
        <v>174.5</v>
      </c>
      <c r="D15" s="12">
        <f t="shared" si="1"/>
        <v>350</v>
      </c>
      <c r="E15" s="13">
        <f t="shared" si="2"/>
        <v>0.49857142857142855</v>
      </c>
      <c r="F15" s="14">
        <f t="shared" si="3"/>
        <v>12.5</v>
      </c>
      <c r="H15" s="9">
        <v>14.5</v>
      </c>
      <c r="I15" s="9">
        <v>11</v>
      </c>
      <c r="J15" s="9">
        <v>13</v>
      </c>
      <c r="K15" s="9">
        <v>12.5</v>
      </c>
      <c r="L15" s="9">
        <v>7</v>
      </c>
      <c r="M15" s="9">
        <v>16</v>
      </c>
      <c r="N15" s="9">
        <v>16.5</v>
      </c>
      <c r="O15" s="9">
        <v>14</v>
      </c>
      <c r="P15" s="9">
        <v>14</v>
      </c>
      <c r="Q15" s="9">
        <v>10</v>
      </c>
      <c r="R15" s="9">
        <v>9</v>
      </c>
      <c r="S15" s="9">
        <v>15</v>
      </c>
      <c r="T15" s="9">
        <v>9</v>
      </c>
      <c r="U15" s="9">
        <v>3</v>
      </c>
      <c r="V15" s="9">
        <v>10</v>
      </c>
      <c r="W15" s="4">
        <f t="shared" si="4"/>
        <v>174.5</v>
      </c>
      <c r="Y15" s="9">
        <v>0.5</v>
      </c>
      <c r="Z15" s="9">
        <v>0</v>
      </c>
      <c r="AA15" s="9">
        <v>1</v>
      </c>
      <c r="AB15" s="9">
        <v>1</v>
      </c>
      <c r="AC15" s="9">
        <v>0</v>
      </c>
      <c r="AD15" s="9">
        <v>0</v>
      </c>
      <c r="AE15" s="9">
        <v>2</v>
      </c>
      <c r="AF15" s="9">
        <v>1</v>
      </c>
      <c r="AG15" s="9">
        <v>2</v>
      </c>
      <c r="AH15" s="9">
        <v>0</v>
      </c>
      <c r="AI15" s="9">
        <v>1</v>
      </c>
      <c r="AJ15" s="9">
        <v>1</v>
      </c>
      <c r="AK15" s="9">
        <v>2</v>
      </c>
      <c r="AL15" s="9">
        <v>0</v>
      </c>
      <c r="AM15" s="9">
        <v>1</v>
      </c>
      <c r="AN15" s="4">
        <f t="shared" si="5"/>
        <v>12.5</v>
      </c>
    </row>
    <row r="16" spans="1:40" x14ac:dyDescent="0.25">
      <c r="A16" s="26" t="s">
        <v>124</v>
      </c>
      <c r="B16" s="11" t="s">
        <v>70</v>
      </c>
      <c r="C16" s="12">
        <f t="shared" si="0"/>
        <v>173.5</v>
      </c>
      <c r="D16" s="12">
        <f t="shared" si="1"/>
        <v>350</v>
      </c>
      <c r="E16" s="13">
        <f t="shared" si="2"/>
        <v>0.49571428571428572</v>
      </c>
      <c r="F16" s="14">
        <f t="shared" si="3"/>
        <v>13</v>
      </c>
      <c r="H16" s="9">
        <v>13.5</v>
      </c>
      <c r="I16" s="9">
        <v>15</v>
      </c>
      <c r="J16" s="9">
        <v>8</v>
      </c>
      <c r="K16" s="9">
        <v>13.5</v>
      </c>
      <c r="L16" s="9">
        <v>9</v>
      </c>
      <c r="M16" s="9">
        <v>9</v>
      </c>
      <c r="N16" s="9">
        <v>18.5</v>
      </c>
      <c r="O16" s="9">
        <v>16</v>
      </c>
      <c r="P16" s="9">
        <v>13</v>
      </c>
      <c r="Q16" s="9">
        <v>9</v>
      </c>
      <c r="R16" s="9">
        <v>10</v>
      </c>
      <c r="S16" s="9">
        <v>12</v>
      </c>
      <c r="T16" s="9">
        <v>14</v>
      </c>
      <c r="U16" s="9">
        <v>4</v>
      </c>
      <c r="V16" s="9">
        <v>9</v>
      </c>
      <c r="W16" s="4">
        <f t="shared" si="4"/>
        <v>173.5</v>
      </c>
      <c r="Y16" s="9">
        <v>2</v>
      </c>
      <c r="Z16" s="9">
        <v>0</v>
      </c>
      <c r="AA16" s="9">
        <v>0</v>
      </c>
      <c r="AB16" s="9">
        <v>0</v>
      </c>
      <c r="AC16" s="9">
        <v>1</v>
      </c>
      <c r="AD16" s="9">
        <v>0</v>
      </c>
      <c r="AE16" s="9">
        <v>2</v>
      </c>
      <c r="AF16" s="9">
        <v>1</v>
      </c>
      <c r="AG16" s="9">
        <v>1</v>
      </c>
      <c r="AH16" s="9">
        <v>1</v>
      </c>
      <c r="AI16" s="9">
        <v>0</v>
      </c>
      <c r="AJ16" s="9">
        <v>1</v>
      </c>
      <c r="AK16" s="9">
        <v>1</v>
      </c>
      <c r="AL16" s="9">
        <v>1</v>
      </c>
      <c r="AM16" s="9">
        <v>2</v>
      </c>
      <c r="AN16" s="4">
        <f t="shared" si="5"/>
        <v>13</v>
      </c>
    </row>
    <row r="17" spans="1:40" x14ac:dyDescent="0.25">
      <c r="A17" s="26" t="s">
        <v>125</v>
      </c>
      <c r="B17" s="11" t="s">
        <v>71</v>
      </c>
      <c r="C17" s="12">
        <f t="shared" si="0"/>
        <v>171.5</v>
      </c>
      <c r="D17" s="12">
        <f t="shared" si="1"/>
        <v>350</v>
      </c>
      <c r="E17" s="13">
        <f t="shared" si="2"/>
        <v>0.49</v>
      </c>
      <c r="F17" s="14">
        <f t="shared" si="3"/>
        <v>13.5</v>
      </c>
      <c r="H17" s="9">
        <v>15.5</v>
      </c>
      <c r="I17" s="9">
        <v>9</v>
      </c>
      <c r="J17" s="9">
        <v>12</v>
      </c>
      <c r="K17" s="9">
        <v>11.5</v>
      </c>
      <c r="L17" s="9">
        <v>8</v>
      </c>
      <c r="M17" s="9">
        <v>13</v>
      </c>
      <c r="N17" s="9">
        <v>15.5</v>
      </c>
      <c r="O17" s="9">
        <v>13</v>
      </c>
      <c r="P17" s="9">
        <v>13</v>
      </c>
      <c r="Q17" s="9">
        <v>11</v>
      </c>
      <c r="R17" s="9">
        <v>13</v>
      </c>
      <c r="S17" s="9">
        <v>11</v>
      </c>
      <c r="T17" s="9">
        <v>14</v>
      </c>
      <c r="U17" s="9">
        <v>4</v>
      </c>
      <c r="V17" s="9">
        <v>8</v>
      </c>
      <c r="W17" s="4">
        <f t="shared" si="4"/>
        <v>171.5</v>
      </c>
      <c r="Y17" s="9">
        <v>1</v>
      </c>
      <c r="Z17" s="9">
        <v>1</v>
      </c>
      <c r="AA17" s="9">
        <v>1</v>
      </c>
      <c r="AB17" s="9">
        <v>1.5</v>
      </c>
      <c r="AC17" s="9">
        <v>0</v>
      </c>
      <c r="AD17" s="9">
        <v>0</v>
      </c>
      <c r="AE17" s="9">
        <v>2</v>
      </c>
      <c r="AF17" s="9">
        <v>1</v>
      </c>
      <c r="AG17" s="9">
        <v>0</v>
      </c>
      <c r="AH17" s="9">
        <v>1</v>
      </c>
      <c r="AI17" s="9">
        <v>1</v>
      </c>
      <c r="AJ17" s="9">
        <v>1</v>
      </c>
      <c r="AK17" s="9">
        <v>1</v>
      </c>
      <c r="AL17" s="9">
        <v>0</v>
      </c>
      <c r="AM17" s="9">
        <v>2</v>
      </c>
      <c r="AN17" s="4">
        <f t="shared" si="5"/>
        <v>13.5</v>
      </c>
    </row>
    <row r="18" spans="1:40" x14ac:dyDescent="0.25">
      <c r="A18" s="26" t="s">
        <v>126</v>
      </c>
      <c r="B18" s="11" t="s">
        <v>39</v>
      </c>
      <c r="C18" s="12">
        <f t="shared" si="0"/>
        <v>169.5</v>
      </c>
      <c r="D18" s="12">
        <f t="shared" si="1"/>
        <v>350</v>
      </c>
      <c r="E18" s="13">
        <f t="shared" si="2"/>
        <v>0.48428571428571426</v>
      </c>
      <c r="F18" s="14">
        <f t="shared" si="3"/>
        <v>11.5</v>
      </c>
      <c r="H18" s="9">
        <v>14.5</v>
      </c>
      <c r="I18" s="9">
        <v>11</v>
      </c>
      <c r="J18" s="9">
        <v>9</v>
      </c>
      <c r="K18" s="9">
        <v>12.5</v>
      </c>
      <c r="L18" s="9">
        <v>9</v>
      </c>
      <c r="M18" s="9">
        <v>12</v>
      </c>
      <c r="N18" s="9">
        <v>16.5</v>
      </c>
      <c r="O18" s="9">
        <v>12</v>
      </c>
      <c r="P18" s="9">
        <v>14</v>
      </c>
      <c r="Q18" s="9">
        <v>13</v>
      </c>
      <c r="R18" s="9">
        <v>9</v>
      </c>
      <c r="S18" s="9">
        <v>11</v>
      </c>
      <c r="T18" s="9">
        <v>15</v>
      </c>
      <c r="U18" s="9">
        <v>3</v>
      </c>
      <c r="V18" s="9">
        <v>8</v>
      </c>
      <c r="W18" s="4">
        <f t="shared" si="4"/>
        <v>169.5</v>
      </c>
      <c r="Y18" s="9">
        <v>0</v>
      </c>
      <c r="Z18" s="9">
        <v>0</v>
      </c>
      <c r="AA18" s="9">
        <v>1</v>
      </c>
      <c r="AB18" s="9">
        <v>0.5</v>
      </c>
      <c r="AC18" s="9">
        <v>0</v>
      </c>
      <c r="AD18" s="9">
        <v>1</v>
      </c>
      <c r="AE18" s="9">
        <v>2</v>
      </c>
      <c r="AF18" s="9">
        <v>1</v>
      </c>
      <c r="AG18" s="9">
        <v>2</v>
      </c>
      <c r="AH18" s="9">
        <v>1</v>
      </c>
      <c r="AI18" s="9">
        <v>0</v>
      </c>
      <c r="AJ18" s="9">
        <v>0</v>
      </c>
      <c r="AK18" s="9">
        <v>1</v>
      </c>
      <c r="AL18" s="9">
        <v>1</v>
      </c>
      <c r="AM18" s="9">
        <v>1</v>
      </c>
      <c r="AN18" s="4">
        <f t="shared" si="5"/>
        <v>11.5</v>
      </c>
    </row>
    <row r="19" spans="1:40" x14ac:dyDescent="0.25">
      <c r="A19" s="26" t="s">
        <v>127</v>
      </c>
      <c r="B19" s="11" t="s">
        <v>72</v>
      </c>
      <c r="C19" s="12">
        <f t="shared" si="0"/>
        <v>165.5</v>
      </c>
      <c r="D19" s="12">
        <f t="shared" si="1"/>
        <v>350</v>
      </c>
      <c r="E19" s="13">
        <f t="shared" si="2"/>
        <v>0.47285714285714286</v>
      </c>
      <c r="F19" s="14">
        <f t="shared" si="3"/>
        <v>11</v>
      </c>
      <c r="H19" s="9">
        <v>15.5</v>
      </c>
      <c r="I19" s="9">
        <v>9</v>
      </c>
      <c r="J19" s="9">
        <v>11</v>
      </c>
      <c r="K19" s="9">
        <v>11.5</v>
      </c>
      <c r="L19" s="9">
        <v>9</v>
      </c>
      <c r="M19" s="9">
        <v>11</v>
      </c>
      <c r="N19" s="9">
        <v>16.5</v>
      </c>
      <c r="O19" s="9">
        <v>13</v>
      </c>
      <c r="P19" s="9">
        <v>8</v>
      </c>
      <c r="Q19" s="9">
        <v>13</v>
      </c>
      <c r="R19" s="9">
        <v>9</v>
      </c>
      <c r="S19" s="9">
        <v>14</v>
      </c>
      <c r="T19" s="9">
        <v>8</v>
      </c>
      <c r="U19" s="9">
        <v>5</v>
      </c>
      <c r="V19" s="9">
        <v>12</v>
      </c>
      <c r="W19" s="4">
        <f t="shared" si="4"/>
        <v>165.5</v>
      </c>
      <c r="Y19" s="9">
        <v>1</v>
      </c>
      <c r="Z19" s="9">
        <v>1</v>
      </c>
      <c r="AA19" s="9">
        <v>0</v>
      </c>
      <c r="AB19" s="9">
        <v>0</v>
      </c>
      <c r="AC19" s="9">
        <v>1</v>
      </c>
      <c r="AD19" s="9">
        <v>0</v>
      </c>
      <c r="AE19" s="9">
        <v>2</v>
      </c>
      <c r="AF19" s="9">
        <v>2</v>
      </c>
      <c r="AG19" s="9">
        <v>0</v>
      </c>
      <c r="AH19" s="9">
        <v>1</v>
      </c>
      <c r="AI19" s="9">
        <v>0</v>
      </c>
      <c r="AJ19" s="9">
        <v>1</v>
      </c>
      <c r="AK19" s="9">
        <v>0</v>
      </c>
      <c r="AL19" s="9">
        <v>0</v>
      </c>
      <c r="AM19" s="9">
        <v>2</v>
      </c>
      <c r="AN19" s="4">
        <f t="shared" si="5"/>
        <v>11</v>
      </c>
    </row>
    <row r="20" spans="1:40" x14ac:dyDescent="0.25">
      <c r="A20" s="26" t="s">
        <v>128</v>
      </c>
      <c r="B20" s="11" t="s">
        <v>376</v>
      </c>
      <c r="C20" s="12">
        <f t="shared" si="0"/>
        <v>151.5</v>
      </c>
      <c r="D20" s="12">
        <f t="shared" si="1"/>
        <v>350</v>
      </c>
      <c r="E20" s="13">
        <f t="shared" si="2"/>
        <v>0.43285714285714288</v>
      </c>
      <c r="F20" s="14">
        <f t="shared" si="3"/>
        <v>10.5</v>
      </c>
      <c r="H20" s="9">
        <v>15.5</v>
      </c>
      <c r="I20" s="9">
        <v>14</v>
      </c>
      <c r="J20" s="9">
        <v>10</v>
      </c>
      <c r="K20" s="9">
        <v>11.5</v>
      </c>
      <c r="L20" s="9">
        <v>8</v>
      </c>
      <c r="M20" s="9">
        <v>8</v>
      </c>
      <c r="N20" s="9">
        <v>7.5</v>
      </c>
      <c r="O20" s="9">
        <v>10</v>
      </c>
      <c r="P20" s="9">
        <v>11</v>
      </c>
      <c r="Q20" s="9">
        <v>11</v>
      </c>
      <c r="R20" s="9">
        <v>8</v>
      </c>
      <c r="S20" s="9">
        <v>13</v>
      </c>
      <c r="T20" s="9">
        <v>8</v>
      </c>
      <c r="U20" s="9">
        <v>5</v>
      </c>
      <c r="V20" s="9">
        <v>11</v>
      </c>
      <c r="W20" s="4">
        <f t="shared" si="4"/>
        <v>151.5</v>
      </c>
      <c r="Y20" s="9">
        <v>1</v>
      </c>
      <c r="Z20" s="9">
        <v>0</v>
      </c>
      <c r="AA20" s="9">
        <v>1</v>
      </c>
      <c r="AB20" s="9">
        <v>0.5</v>
      </c>
      <c r="AC20" s="9">
        <v>0</v>
      </c>
      <c r="AD20" s="9">
        <v>0</v>
      </c>
      <c r="AE20" s="9">
        <v>0</v>
      </c>
      <c r="AF20" s="9">
        <v>2</v>
      </c>
      <c r="AG20" s="9">
        <v>2</v>
      </c>
      <c r="AH20" s="9">
        <v>1</v>
      </c>
      <c r="AI20" s="9">
        <v>0</v>
      </c>
      <c r="AJ20" s="9">
        <v>1</v>
      </c>
      <c r="AK20" s="9">
        <v>0</v>
      </c>
      <c r="AL20" s="9">
        <v>1</v>
      </c>
      <c r="AM20" s="9">
        <v>1</v>
      </c>
      <c r="AN20" s="4">
        <f t="shared" si="5"/>
        <v>10.5</v>
      </c>
    </row>
    <row r="21" spans="1:40" x14ac:dyDescent="0.25">
      <c r="A21" s="26" t="s">
        <v>353</v>
      </c>
      <c r="B21" s="11" t="s">
        <v>102</v>
      </c>
      <c r="C21" s="12">
        <f t="shared" si="0"/>
        <v>138.5</v>
      </c>
      <c r="D21" s="12">
        <v>300</v>
      </c>
      <c r="E21" s="13">
        <f t="shared" si="2"/>
        <v>0.46166666666666667</v>
      </c>
      <c r="F21" s="14">
        <f t="shared" si="3"/>
        <v>10.5</v>
      </c>
      <c r="H21" s="9">
        <v>14.5</v>
      </c>
      <c r="I21" s="9">
        <v>15</v>
      </c>
      <c r="J21" s="9">
        <v>10</v>
      </c>
      <c r="K21" s="9">
        <v>11.5</v>
      </c>
      <c r="L21" s="9">
        <v>9</v>
      </c>
      <c r="M21" s="9">
        <v>11</v>
      </c>
      <c r="N21" s="9">
        <v>7.5</v>
      </c>
      <c r="O21" s="9">
        <v>14</v>
      </c>
      <c r="P21" s="9">
        <v>14</v>
      </c>
      <c r="Q21" s="9">
        <v>14</v>
      </c>
      <c r="R21" s="9">
        <v>10</v>
      </c>
      <c r="S21" s="9">
        <v>8</v>
      </c>
      <c r="T21" s="15" t="s">
        <v>63</v>
      </c>
      <c r="U21" s="15" t="s">
        <v>63</v>
      </c>
      <c r="V21" s="15" t="s">
        <v>63</v>
      </c>
      <c r="W21" s="4">
        <f t="shared" si="4"/>
        <v>138.5</v>
      </c>
      <c r="Y21" s="9">
        <v>1.5</v>
      </c>
      <c r="Z21" s="9">
        <v>1</v>
      </c>
      <c r="AA21" s="9">
        <v>0</v>
      </c>
      <c r="AB21" s="9">
        <v>1</v>
      </c>
      <c r="AC21" s="9">
        <v>1</v>
      </c>
      <c r="AD21" s="9">
        <v>2</v>
      </c>
      <c r="AE21" s="9">
        <v>0</v>
      </c>
      <c r="AF21" s="9">
        <v>2</v>
      </c>
      <c r="AG21" s="9">
        <v>1</v>
      </c>
      <c r="AH21" s="9">
        <v>1</v>
      </c>
      <c r="AI21" s="9">
        <v>0</v>
      </c>
      <c r="AJ21" s="9">
        <v>0</v>
      </c>
      <c r="AK21" s="9" t="s">
        <v>63</v>
      </c>
      <c r="AL21" s="9">
        <v>0</v>
      </c>
      <c r="AM21" s="9" t="s">
        <v>63</v>
      </c>
      <c r="AN21" s="4">
        <f t="shared" si="5"/>
        <v>10.5</v>
      </c>
    </row>
    <row r="22" spans="1:40" x14ac:dyDescent="0.25">
      <c r="A22" s="26" t="s">
        <v>354</v>
      </c>
      <c r="B22" s="11" t="s">
        <v>103</v>
      </c>
      <c r="C22" s="12">
        <f t="shared" si="0"/>
        <v>138.5</v>
      </c>
      <c r="D22" s="12">
        <v>300</v>
      </c>
      <c r="E22" s="13">
        <f t="shared" si="2"/>
        <v>0.46166666666666667</v>
      </c>
      <c r="F22" s="14">
        <f t="shared" si="3"/>
        <v>9.5</v>
      </c>
      <c r="H22" s="9">
        <v>17.5</v>
      </c>
      <c r="I22" s="9">
        <v>15</v>
      </c>
      <c r="J22" s="9">
        <v>8</v>
      </c>
      <c r="K22" s="9">
        <v>12.5</v>
      </c>
      <c r="L22" s="9">
        <v>12</v>
      </c>
      <c r="M22" s="9">
        <v>11</v>
      </c>
      <c r="N22" s="9">
        <v>13.5</v>
      </c>
      <c r="O22" s="9">
        <v>13</v>
      </c>
      <c r="P22" s="9">
        <v>9</v>
      </c>
      <c r="Q22" s="9">
        <v>8</v>
      </c>
      <c r="R22" s="9">
        <v>11</v>
      </c>
      <c r="S22" s="9">
        <v>8</v>
      </c>
      <c r="T22" s="15" t="s">
        <v>63</v>
      </c>
      <c r="U22" s="15" t="s">
        <v>63</v>
      </c>
      <c r="V22" s="15" t="s">
        <v>63</v>
      </c>
      <c r="W22" s="4">
        <f t="shared" si="4"/>
        <v>138.5</v>
      </c>
      <c r="Y22" s="9">
        <v>1</v>
      </c>
      <c r="Z22" s="9">
        <v>0</v>
      </c>
      <c r="AA22" s="9">
        <v>1</v>
      </c>
      <c r="AB22" s="9">
        <v>2</v>
      </c>
      <c r="AC22" s="9">
        <v>2</v>
      </c>
      <c r="AD22" s="9">
        <v>0</v>
      </c>
      <c r="AE22" s="9">
        <v>0.5</v>
      </c>
      <c r="AF22" s="9">
        <v>1</v>
      </c>
      <c r="AG22" s="9">
        <v>1</v>
      </c>
      <c r="AH22" s="9">
        <v>1</v>
      </c>
      <c r="AI22" s="9">
        <v>0</v>
      </c>
      <c r="AJ22" s="9">
        <v>0</v>
      </c>
      <c r="AK22" s="9" t="s">
        <v>63</v>
      </c>
      <c r="AL22" s="9">
        <v>0</v>
      </c>
      <c r="AM22" s="9" t="s">
        <v>63</v>
      </c>
      <c r="AN22" s="4">
        <f t="shared" si="5"/>
        <v>9.5</v>
      </c>
    </row>
    <row r="23" spans="1:40" x14ac:dyDescent="0.25">
      <c r="A23" s="26" t="s">
        <v>355</v>
      </c>
      <c r="B23" s="11" t="s">
        <v>104</v>
      </c>
      <c r="C23" s="12">
        <f t="shared" si="0"/>
        <v>120.5</v>
      </c>
      <c r="D23" s="12">
        <f>$W$28</f>
        <v>350</v>
      </c>
      <c r="E23" s="13">
        <f t="shared" si="2"/>
        <v>0.34428571428571431</v>
      </c>
      <c r="F23" s="14">
        <f t="shared" si="3"/>
        <v>4.5</v>
      </c>
      <c r="H23" s="9">
        <v>12.5</v>
      </c>
      <c r="I23" s="9">
        <v>12</v>
      </c>
      <c r="J23" s="9">
        <v>13</v>
      </c>
      <c r="K23" s="9">
        <v>10.5</v>
      </c>
      <c r="L23" s="9">
        <v>9</v>
      </c>
      <c r="M23" s="9">
        <v>14</v>
      </c>
      <c r="N23" s="9">
        <v>17.5</v>
      </c>
      <c r="O23" s="9">
        <v>9</v>
      </c>
      <c r="P23" s="9">
        <v>8</v>
      </c>
      <c r="Q23" s="9">
        <v>7</v>
      </c>
      <c r="R23" s="9">
        <v>8</v>
      </c>
      <c r="S23" s="15" t="s">
        <v>63</v>
      </c>
      <c r="T23" s="15" t="s">
        <v>63</v>
      </c>
      <c r="U23" s="15" t="s">
        <v>63</v>
      </c>
      <c r="V23" s="15" t="s">
        <v>63</v>
      </c>
      <c r="W23" s="4">
        <f t="shared" si="4"/>
        <v>120.5</v>
      </c>
      <c r="Y23" s="9">
        <v>0</v>
      </c>
      <c r="Z23" s="9">
        <v>1</v>
      </c>
      <c r="AA23" s="9">
        <v>0</v>
      </c>
      <c r="AB23" s="9">
        <v>0</v>
      </c>
      <c r="AC23" s="9">
        <v>1</v>
      </c>
      <c r="AD23" s="9">
        <v>1</v>
      </c>
      <c r="AE23" s="9">
        <v>1.5</v>
      </c>
      <c r="AF23" s="9">
        <v>0</v>
      </c>
      <c r="AG23" s="9">
        <v>0</v>
      </c>
      <c r="AH23" s="9">
        <v>0</v>
      </c>
      <c r="AI23" s="9">
        <v>0</v>
      </c>
      <c r="AJ23" s="9" t="s">
        <v>63</v>
      </c>
      <c r="AK23" s="9" t="s">
        <v>63</v>
      </c>
      <c r="AL23" s="9" t="s">
        <v>63</v>
      </c>
      <c r="AM23" s="9" t="s">
        <v>63</v>
      </c>
      <c r="AN23" s="4">
        <f t="shared" si="5"/>
        <v>4.5</v>
      </c>
    </row>
    <row r="24" spans="1:40" x14ac:dyDescent="0.25">
      <c r="A24" s="26" t="s">
        <v>356</v>
      </c>
      <c r="B24" s="11" t="s">
        <v>105</v>
      </c>
      <c r="C24" s="12">
        <f t="shared" si="0"/>
        <v>71.5</v>
      </c>
      <c r="D24" s="12">
        <v>175</v>
      </c>
      <c r="E24" s="13">
        <f t="shared" si="2"/>
        <v>0.40857142857142859</v>
      </c>
      <c r="F24" s="14">
        <f t="shared" si="3"/>
        <v>2.5</v>
      </c>
      <c r="H24" s="9">
        <v>15.5</v>
      </c>
      <c r="I24" s="9">
        <v>14</v>
      </c>
      <c r="J24" s="9">
        <v>15</v>
      </c>
      <c r="K24" s="9">
        <v>5.5</v>
      </c>
      <c r="L24" s="9">
        <v>6</v>
      </c>
      <c r="M24" s="9">
        <v>8</v>
      </c>
      <c r="N24" s="9">
        <v>7.5</v>
      </c>
      <c r="O24" s="15" t="s">
        <v>63</v>
      </c>
      <c r="P24" s="15" t="s">
        <v>63</v>
      </c>
      <c r="Q24" s="15" t="s">
        <v>63</v>
      </c>
      <c r="R24" s="15" t="s">
        <v>63</v>
      </c>
      <c r="S24" s="15" t="s">
        <v>63</v>
      </c>
      <c r="T24" s="15" t="s">
        <v>63</v>
      </c>
      <c r="U24" s="15" t="s">
        <v>63</v>
      </c>
      <c r="V24" s="15" t="s">
        <v>63</v>
      </c>
      <c r="W24" s="4">
        <f t="shared" si="4"/>
        <v>71.5</v>
      </c>
      <c r="Y24" s="9">
        <v>0.5</v>
      </c>
      <c r="Z24" s="9">
        <v>1</v>
      </c>
      <c r="AA24" s="9">
        <v>1</v>
      </c>
      <c r="AB24" s="9">
        <v>0</v>
      </c>
      <c r="AC24" s="9">
        <v>0</v>
      </c>
      <c r="AD24" s="9">
        <v>0</v>
      </c>
      <c r="AE24" s="9">
        <v>0</v>
      </c>
      <c r="AF24" s="9" t="s">
        <v>63</v>
      </c>
      <c r="AG24" s="9" t="s">
        <v>63</v>
      </c>
      <c r="AH24" s="9" t="s">
        <v>63</v>
      </c>
      <c r="AI24" s="9" t="s">
        <v>63</v>
      </c>
      <c r="AJ24" s="9" t="s">
        <v>63</v>
      </c>
      <c r="AK24" s="9" t="s">
        <v>63</v>
      </c>
      <c r="AL24" s="9" t="s">
        <v>63</v>
      </c>
      <c r="AM24" s="9" t="s">
        <v>63</v>
      </c>
      <c r="AN24" s="4">
        <f t="shared" si="5"/>
        <v>2.5</v>
      </c>
    </row>
    <row r="25" spans="1:40" x14ac:dyDescent="0.25">
      <c r="A25" s="26" t="s">
        <v>357</v>
      </c>
      <c r="B25" s="11" t="s">
        <v>62</v>
      </c>
      <c r="C25" s="12">
        <f t="shared" si="0"/>
        <v>49</v>
      </c>
      <c r="D25" s="12">
        <v>150</v>
      </c>
      <c r="E25" s="13">
        <f t="shared" si="2"/>
        <v>0.32666666666666666</v>
      </c>
      <c r="F25" s="14">
        <f t="shared" si="3"/>
        <v>1</v>
      </c>
      <c r="H25" s="9">
        <v>12.5</v>
      </c>
      <c r="I25" s="9">
        <v>10</v>
      </c>
      <c r="J25" s="9">
        <v>7</v>
      </c>
      <c r="K25" s="9">
        <v>5.5</v>
      </c>
      <c r="L25" s="9">
        <v>6</v>
      </c>
      <c r="M25" s="9">
        <v>8</v>
      </c>
      <c r="N25" s="15" t="s">
        <v>63</v>
      </c>
      <c r="O25" s="15" t="s">
        <v>63</v>
      </c>
      <c r="P25" s="15" t="s">
        <v>63</v>
      </c>
      <c r="Q25" s="15" t="s">
        <v>63</v>
      </c>
      <c r="R25" s="15" t="s">
        <v>63</v>
      </c>
      <c r="S25" s="15" t="s">
        <v>63</v>
      </c>
      <c r="T25" s="15" t="s">
        <v>63</v>
      </c>
      <c r="U25" s="15" t="s">
        <v>63</v>
      </c>
      <c r="V25" s="15" t="s">
        <v>63</v>
      </c>
      <c r="W25" s="4">
        <f t="shared" si="4"/>
        <v>49</v>
      </c>
      <c r="Y25" s="9">
        <v>0</v>
      </c>
      <c r="Z25" s="9">
        <v>1</v>
      </c>
      <c r="AA25" s="9">
        <v>0</v>
      </c>
      <c r="AB25" s="9">
        <v>0</v>
      </c>
      <c r="AC25" s="9">
        <v>0</v>
      </c>
      <c r="AD25" s="9">
        <v>0</v>
      </c>
      <c r="AE25" s="9" t="s">
        <v>63</v>
      </c>
      <c r="AF25" s="9" t="s">
        <v>63</v>
      </c>
      <c r="AG25" s="9" t="s">
        <v>63</v>
      </c>
      <c r="AH25" s="9" t="s">
        <v>63</v>
      </c>
      <c r="AI25" s="9" t="s">
        <v>63</v>
      </c>
      <c r="AJ25" s="9" t="s">
        <v>63</v>
      </c>
      <c r="AK25" s="9" t="s">
        <v>63</v>
      </c>
      <c r="AL25" s="9" t="s">
        <v>63</v>
      </c>
      <c r="AM25" s="9" t="s">
        <v>63</v>
      </c>
      <c r="AN25" s="4">
        <f t="shared" si="5"/>
        <v>1</v>
      </c>
    </row>
    <row r="26" spans="1:40" x14ac:dyDescent="0.25">
      <c r="A26" s="26"/>
      <c r="B26" s="27"/>
      <c r="C26" s="17"/>
      <c r="D26" s="17"/>
      <c r="E26" s="18"/>
      <c r="F26" s="19"/>
      <c r="W26" s="4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4"/>
    </row>
    <row r="27" spans="1:40" ht="15.75" thickBot="1" x14ac:dyDescent="0.3">
      <c r="A27" s="26"/>
      <c r="B27" s="20" t="s">
        <v>106</v>
      </c>
      <c r="C27" s="21">
        <f>W27</f>
        <v>186</v>
      </c>
      <c r="D27" s="21">
        <f>$W$28</f>
        <v>350</v>
      </c>
      <c r="E27" s="22">
        <f>C27/D27</f>
        <v>0.53142857142857147</v>
      </c>
      <c r="F27" s="23">
        <f>AN27</f>
        <v>13.5</v>
      </c>
      <c r="H27" s="9">
        <v>15.5</v>
      </c>
      <c r="I27" s="9">
        <v>13</v>
      </c>
      <c r="J27" s="9">
        <v>12</v>
      </c>
      <c r="K27" s="9">
        <v>10.5</v>
      </c>
      <c r="L27" s="9">
        <v>10</v>
      </c>
      <c r="M27" s="9">
        <v>14</v>
      </c>
      <c r="N27" s="9">
        <v>17.5</v>
      </c>
      <c r="O27" s="9">
        <v>15.5</v>
      </c>
      <c r="P27" s="9">
        <v>13</v>
      </c>
      <c r="Q27" s="9">
        <v>12.5</v>
      </c>
      <c r="R27" s="9">
        <v>10</v>
      </c>
      <c r="S27" s="9">
        <v>12</v>
      </c>
      <c r="T27" s="9">
        <v>16</v>
      </c>
      <c r="U27" s="9">
        <v>4</v>
      </c>
      <c r="V27" s="9">
        <v>10.5</v>
      </c>
      <c r="W27" s="4">
        <f>SUM(H27:V27)</f>
        <v>186</v>
      </c>
      <c r="Y27" s="9">
        <v>1</v>
      </c>
      <c r="Z27" s="9">
        <v>0.5</v>
      </c>
      <c r="AA27" s="9">
        <v>0</v>
      </c>
      <c r="AB27" s="9">
        <v>0.5</v>
      </c>
      <c r="AC27" s="9">
        <v>2</v>
      </c>
      <c r="AD27" s="9">
        <v>0</v>
      </c>
      <c r="AE27" s="9">
        <v>1.5</v>
      </c>
      <c r="AF27" s="9">
        <v>1</v>
      </c>
      <c r="AG27" s="9">
        <v>2</v>
      </c>
      <c r="AH27" s="9">
        <v>0</v>
      </c>
      <c r="AI27" s="9">
        <v>0</v>
      </c>
      <c r="AJ27" s="9">
        <v>1</v>
      </c>
      <c r="AK27" s="9">
        <v>1</v>
      </c>
      <c r="AL27" s="9">
        <v>1</v>
      </c>
      <c r="AM27" s="9">
        <v>2</v>
      </c>
      <c r="AN27" s="4">
        <f>SUM(Y27:AM27)</f>
        <v>13.5</v>
      </c>
    </row>
    <row r="28" spans="1:40" x14ac:dyDescent="0.25">
      <c r="A28" s="28"/>
      <c r="C28" s="9"/>
      <c r="D28" s="9"/>
      <c r="E28" s="9"/>
      <c r="F28" s="9"/>
      <c r="H28" s="9">
        <v>24</v>
      </c>
      <c r="I28" s="9">
        <v>26</v>
      </c>
      <c r="J28" s="9">
        <v>25</v>
      </c>
      <c r="K28" s="9">
        <v>25</v>
      </c>
      <c r="L28" s="9">
        <v>25</v>
      </c>
      <c r="M28" s="9">
        <v>25</v>
      </c>
      <c r="N28" s="9">
        <v>25</v>
      </c>
      <c r="O28" s="9">
        <v>25</v>
      </c>
      <c r="P28" s="9">
        <v>25</v>
      </c>
      <c r="Q28" s="9">
        <v>25</v>
      </c>
      <c r="R28" s="9">
        <v>25</v>
      </c>
      <c r="S28" s="9">
        <v>25</v>
      </c>
      <c r="T28" s="9">
        <v>25</v>
      </c>
      <c r="U28" s="9">
        <v>7</v>
      </c>
      <c r="V28" s="9">
        <v>18</v>
      </c>
      <c r="W28" s="29">
        <f>SUM(H28:V28)</f>
        <v>350</v>
      </c>
      <c r="AN28" s="4"/>
    </row>
    <row r="29" spans="1:40" x14ac:dyDescent="0.25">
      <c r="A29" s="28"/>
      <c r="C29" s="9"/>
      <c r="D29" s="9"/>
      <c r="E29" s="9"/>
      <c r="F29" s="9"/>
      <c r="W29" s="10"/>
      <c r="AN29" s="4"/>
    </row>
    <row r="30" spans="1:40" x14ac:dyDescent="0.25">
      <c r="A30" s="28"/>
      <c r="B30" s="25" t="s">
        <v>64</v>
      </c>
      <c r="C30" s="12">
        <f>W30</f>
        <v>184</v>
      </c>
      <c r="D30" s="12">
        <f>$W$28</f>
        <v>350</v>
      </c>
      <c r="E30" s="13">
        <f>C30/D30</f>
        <v>0.52571428571428569</v>
      </c>
      <c r="F30" s="12">
        <f>AN30</f>
        <v>0</v>
      </c>
      <c r="H30" s="9">
        <v>15.5</v>
      </c>
      <c r="I30" s="9">
        <v>13</v>
      </c>
      <c r="J30" s="9">
        <v>9</v>
      </c>
      <c r="K30" s="9">
        <v>12.5</v>
      </c>
      <c r="L30" s="9">
        <v>11</v>
      </c>
      <c r="M30" s="9">
        <v>11</v>
      </c>
      <c r="N30" s="9">
        <v>17.5</v>
      </c>
      <c r="O30" s="9">
        <v>16</v>
      </c>
      <c r="P30" s="9">
        <v>14</v>
      </c>
      <c r="Q30" s="9">
        <v>12</v>
      </c>
      <c r="R30" s="9">
        <v>10</v>
      </c>
      <c r="S30" s="9">
        <v>12</v>
      </c>
      <c r="T30" s="9">
        <v>16</v>
      </c>
      <c r="U30" s="9">
        <v>3</v>
      </c>
      <c r="V30" s="9">
        <v>11.5</v>
      </c>
      <c r="W30" s="4">
        <f>SUM(H30:V30)</f>
        <v>184</v>
      </c>
      <c r="AN30" s="4"/>
    </row>
  </sheetData>
  <phoneticPr fontId="8" type="noConversion"/>
  <conditionalFormatting sqref="M27:M28 L28 N28 N30">
    <cfRule type="cellIs" dxfId="0" priority="1" operator="lessThan">
      <formula>12.5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College</vt:lpstr>
      <vt:lpstr>Records</vt:lpstr>
      <vt:lpstr>Weekly Wins</vt:lpstr>
      <vt:lpstr>Streaks</vt:lpstr>
      <vt:lpstr>Cards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dcterms:created xsi:type="dcterms:W3CDTF">2021-10-16T19:50:28Z</dcterms:created>
  <dcterms:modified xsi:type="dcterms:W3CDTF">2026-11-02T16:28:29Z</dcterms:modified>
</cp:coreProperties>
</file>